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ergeyspirkin/Documents/Фирма - Прайсы наши и конкурентов/"/>
    </mc:Choice>
  </mc:AlternateContent>
  <xr:revisionPtr revIDLastSave="0" documentId="13_ncr:1_{D13F01A9-1614-E241-9723-4890F6C5DA73}" xr6:coauthVersionLast="47" xr6:coauthVersionMax="47" xr10:uidLastSave="{00000000-0000-0000-0000-000000000000}"/>
  <bookViews>
    <workbookView xWindow="0" yWindow="500" windowWidth="40960" windowHeight="21320" tabRatio="800" activeTab="10" xr2:uid="{00000000-000D-0000-FFFF-FFFF00000000}"/>
  </bookViews>
  <sheets>
    <sheet name="Прайс с 2024-09-15     стр1" sheetId="14" r:id="rId1"/>
    <sheet name="стр 2 " sheetId="23" r:id="rId2"/>
    <sheet name="стр 3" sheetId="31" r:id="rId3"/>
    <sheet name=" стр 4" sheetId="32" r:id="rId4"/>
    <sheet name="стр 5" sheetId="17" r:id="rId5"/>
    <sheet name="стр 6" sheetId="18" r:id="rId6"/>
    <sheet name="стр 7" sheetId="19" r:id="rId7"/>
    <sheet name="стр 8" sheetId="28" r:id="rId8"/>
    <sheet name="стр 9" sheetId="22" r:id="rId9"/>
    <sheet name="стр 10" sheetId="30" r:id="rId10"/>
    <sheet name="Формулы" sheetId="26" r:id="rId11"/>
  </sheets>
  <externalReferences>
    <externalReference r:id="rId12"/>
  </externalReferences>
  <definedNames>
    <definedName name="_xlnm._FilterDatabase" localSheetId="3" hidden="1">' стр 4'!#REF!</definedName>
    <definedName name="_xlnm._FilterDatabase" localSheetId="0" hidden="1">'Прайс с 2024-09-15     стр1'!#REF!</definedName>
    <definedName name="_xlnm._FilterDatabase" localSheetId="9" hidden="1">'стр 10'!#REF!</definedName>
    <definedName name="_xlnm._FilterDatabase" localSheetId="1" hidden="1">'стр 2 '!#REF!</definedName>
    <definedName name="_xlnm._FilterDatabase" localSheetId="2" hidden="1">'стр 3'!$B$3:$D$3</definedName>
    <definedName name="_xlnm._FilterDatabase" localSheetId="4" hidden="1">'стр 5'!#REF!</definedName>
    <definedName name="_xlnm._FilterDatabase" localSheetId="5" hidden="1">'стр 6'!#REF!</definedName>
    <definedName name="_xlnm._FilterDatabase" localSheetId="6" hidden="1">'стр 7'!#REF!</definedName>
    <definedName name="_xlnm._FilterDatabase" localSheetId="7" hidden="1">'стр 8'!#REF!</definedName>
    <definedName name="_xlnm._FilterDatabase" localSheetId="8" hidden="1">'стр 9'!#REF!</definedName>
    <definedName name="а" localSheetId="3">#REF!</definedName>
    <definedName name="а" localSheetId="0">#REF!</definedName>
    <definedName name="а" localSheetId="9">#REF!</definedName>
    <definedName name="а" localSheetId="1">#REF!</definedName>
    <definedName name="а" localSheetId="2">#REF!</definedName>
    <definedName name="а" localSheetId="4">#REF!</definedName>
    <definedName name="а" localSheetId="5">#REF!</definedName>
    <definedName name="а" localSheetId="6">#REF!</definedName>
    <definedName name="а" localSheetId="7">#REF!</definedName>
    <definedName name="а" localSheetId="8">#REF!</definedName>
    <definedName name="а">#REF!</definedName>
    <definedName name="аааукаук">#REF!</definedName>
    <definedName name="Авиньон">Формулы!$C$21</definedName>
    <definedName name="б" localSheetId="3">#REF!</definedName>
    <definedName name="б" localSheetId="0">#REF!</definedName>
    <definedName name="б" localSheetId="9">#REF!</definedName>
    <definedName name="б" localSheetId="1">#REF!</definedName>
    <definedName name="б" localSheetId="2">#REF!</definedName>
    <definedName name="б" localSheetId="4">#REF!</definedName>
    <definedName name="б" localSheetId="5">#REF!</definedName>
    <definedName name="б" localSheetId="6">#REF!</definedName>
    <definedName name="б" localSheetId="7">#REF!</definedName>
    <definedName name="б" localSheetId="8">#REF!</definedName>
    <definedName name="б">#REF!</definedName>
    <definedName name="Балюстрада_гнутая_R300" localSheetId="9">[1]Формулы!$C$25</definedName>
    <definedName name="Балюстрада_гнутая_R300">Формулы!#REF!</definedName>
    <definedName name="Балюстрада_прямая_1200х75" localSheetId="9">[1]Формулы!$C$23</definedName>
    <definedName name="Балюстрада_прямая_1200х75">Формулы!#REF!</definedName>
    <definedName name="Балюстрада_прямая_2000х75" localSheetId="9">[1]Формулы!$C$24</definedName>
    <definedName name="Балюстрада_прямая_2000х75">Формулы!#REF!</definedName>
    <definedName name="_xlnm.Print_Area" localSheetId="3">' стр 4'!$A$1:$H$46</definedName>
    <definedName name="_xlnm.Print_Area" localSheetId="0">'Прайс с 2024-09-15     стр1'!$A$1:$H$46</definedName>
    <definedName name="_xlnm.Print_Area" localSheetId="9">'стр 10'!$A$1:$H$47</definedName>
    <definedName name="_xlnm.Print_Area" localSheetId="1">'стр 2 '!$A$1:$H$46</definedName>
    <definedName name="_xlnm.Print_Area" localSheetId="2">'стр 3'!$A$1:$E$47</definedName>
    <definedName name="_xlnm.Print_Area" localSheetId="4">'стр 5'!$A$1:$H$46</definedName>
    <definedName name="_xlnm.Print_Area" localSheetId="5">'стр 6'!$A$1:$H$46</definedName>
    <definedName name="_xlnm.Print_Area" localSheetId="6">'стр 7'!$A$1:$H$46</definedName>
    <definedName name="_xlnm.Print_Area" localSheetId="7">'стр 8'!$A$1:$H$46</definedName>
    <definedName name="_xlnm.Print_Area" localSheetId="8">'стр 9'!$A$1:$H$49</definedName>
    <definedName name="_xlnm.Print_Area" localSheetId="10">Формулы!$A$1:$D$40</definedName>
    <definedName name="Основа_гнутого_фасада" localSheetId="9">[1]Формулы!$C$19</definedName>
    <definedName name="Основа_гнутого_фасада">Формулы!$C$24</definedName>
    <definedName name="Патина" localSheetId="9">[1]Формулы!$C$18</definedName>
    <definedName name="Патина">Формулы!$C$23</definedName>
    <definedName name="Плита_19_мм" localSheetId="9">[1]Формулы!$C$17</definedName>
    <definedName name="Плита_19_мм">Формулы!$C$22</definedName>
    <definedName name="Престиж_1" localSheetId="9">[1]Формулы!$C$9</definedName>
    <definedName name="Престиж_1">Формулы!$C$11</definedName>
    <definedName name="Престиж_2" localSheetId="9">[1]Формулы!$C$10</definedName>
    <definedName name="Престиж_2">Формулы!$C$12</definedName>
    <definedName name="Престиж_3" localSheetId="9">[1]Формулы!$C$11</definedName>
    <definedName name="Престиж_3">Формулы!$C$13</definedName>
    <definedName name="Престиж_4" localSheetId="9">[1]Формулы!$C$12</definedName>
    <definedName name="Престиж_4">Формулы!$C$14</definedName>
    <definedName name="Сложная_фрезеровка" localSheetId="9">[1]Формулы!$C$15</definedName>
    <definedName name="Сложная_фрезеровка">Формулы!$C$19</definedName>
    <definedName name="Сложная_фрезеровка_с_утопленной_вставкой" localSheetId="9">[1]Формулы!$C$16</definedName>
    <definedName name="Сложная_фрезеровка_с_утопленной_вставкой">Формулы!$C$20</definedName>
    <definedName name="Стандарт_0">Формулы!#REF!</definedName>
    <definedName name="Стандарт_1" localSheetId="9">[1]Формулы!$C$4</definedName>
    <definedName name="Стандарт_1">Формулы!$C$4</definedName>
    <definedName name="Стандарт_2" localSheetId="9">[1]Формулы!$C$5</definedName>
    <definedName name="Стандарт_2">Формулы!$C$5</definedName>
    <definedName name="Стандарт_3" localSheetId="9">[1]Формулы!$C$6</definedName>
    <definedName name="Стандарт_3">Формулы!$C$6</definedName>
    <definedName name="Стандарт_4" localSheetId="9">[1]Формулы!$C$7</definedName>
    <definedName name="Стандарт_4">Формулы!$C$7</definedName>
    <definedName name="Стандарт_5">Формулы!$C$8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4" l="1"/>
  <c r="F32" i="14"/>
  <c r="E32" i="14"/>
  <c r="D32" i="14"/>
  <c r="G19" i="14"/>
  <c r="F19" i="14"/>
  <c r="E19" i="14"/>
  <c r="D19" i="14"/>
  <c r="G18" i="14"/>
  <c r="F18" i="14"/>
  <c r="E18" i="14"/>
  <c r="D18" i="14"/>
  <c r="G5" i="14" l="1"/>
  <c r="F15" i="23" l="1"/>
  <c r="F17" i="23"/>
  <c r="F16" i="23"/>
  <c r="G18" i="23"/>
  <c r="G17" i="23"/>
  <c r="G16" i="23"/>
  <c r="G15" i="23"/>
  <c r="G14" i="23"/>
  <c r="G8" i="23"/>
  <c r="G9" i="23"/>
  <c r="G7" i="23"/>
  <c r="G6" i="23"/>
  <c r="G5" i="23"/>
  <c r="G15" i="14"/>
  <c r="G35" i="14" l="1"/>
  <c r="G34" i="14"/>
  <c r="G33" i="14"/>
  <c r="G30" i="14"/>
  <c r="G29" i="14"/>
  <c r="G28" i="14"/>
  <c r="F35" i="14"/>
  <c r="F34" i="14"/>
  <c r="F33" i="14"/>
  <c r="F30" i="14"/>
  <c r="F29" i="14"/>
  <c r="F28" i="14"/>
  <c r="E35" i="14"/>
  <c r="E34" i="14"/>
  <c r="E33" i="14"/>
  <c r="E30" i="14"/>
  <c r="E29" i="14"/>
  <c r="E28" i="14"/>
  <c r="D36" i="14"/>
  <c r="D35" i="14"/>
  <c r="D34" i="14"/>
  <c r="D33" i="14"/>
  <c r="D30" i="14"/>
  <c r="D29" i="14"/>
  <c r="D28" i="14"/>
  <c r="G22" i="14"/>
  <c r="G21" i="14"/>
  <c r="G20" i="14"/>
  <c r="G17" i="14"/>
  <c r="G16" i="14"/>
  <c r="F22" i="14"/>
  <c r="F21" i="14"/>
  <c r="F20" i="14"/>
  <c r="F17" i="14"/>
  <c r="F16" i="14"/>
  <c r="F15" i="14"/>
  <c r="E22" i="14"/>
  <c r="E21" i="14"/>
  <c r="E20" i="14"/>
  <c r="E17" i="14"/>
  <c r="E16" i="14"/>
  <c r="E15" i="14"/>
  <c r="D23" i="14"/>
  <c r="D22" i="14"/>
  <c r="D21" i="14"/>
  <c r="D20" i="14"/>
  <c r="D17" i="14"/>
  <c r="D16" i="14"/>
  <c r="D15" i="14"/>
  <c r="G43" i="17" l="1"/>
  <c r="F43" i="17"/>
  <c r="E43" i="17"/>
  <c r="G37" i="17"/>
  <c r="F37" i="17"/>
  <c r="E37" i="17"/>
  <c r="D43" i="17"/>
  <c r="D37" i="17"/>
  <c r="F39" i="14" l="1"/>
  <c r="F21" i="23"/>
  <c r="F18" i="23"/>
  <c r="E18" i="23"/>
  <c r="D18" i="23"/>
  <c r="F7" i="23"/>
  <c r="F6" i="23"/>
  <c r="F8" i="23"/>
  <c r="F9" i="23"/>
  <c r="E9" i="23"/>
  <c r="D9" i="23"/>
  <c r="E17" i="23"/>
  <c r="D17" i="23"/>
  <c r="E16" i="23"/>
  <c r="D16" i="23"/>
  <c r="E15" i="23"/>
  <c r="D15" i="23"/>
  <c r="F14" i="23"/>
  <c r="E14" i="23"/>
  <c r="D14" i="23"/>
  <c r="E8" i="23"/>
  <c r="D8" i="23"/>
  <c r="E7" i="23"/>
  <c r="D7" i="23"/>
  <c r="E6" i="23"/>
  <c r="D6" i="23"/>
  <c r="F5" i="23"/>
  <c r="E5" i="23"/>
  <c r="D5" i="23"/>
  <c r="E28" i="18" l="1"/>
  <c r="E5" i="18"/>
  <c r="G3" i="19" l="1"/>
  <c r="F3" i="19"/>
  <c r="E3" i="19"/>
  <c r="D3" i="19"/>
  <c r="E17" i="19"/>
  <c r="G36" i="18"/>
  <c r="F36" i="18"/>
  <c r="D36" i="18"/>
  <c r="E36" i="18"/>
  <c r="F28" i="18"/>
  <c r="G28" i="18"/>
  <c r="D28" i="18"/>
  <c r="G27" i="18"/>
  <c r="F27" i="18"/>
  <c r="E27" i="18"/>
  <c r="D27" i="18"/>
  <c r="G20" i="18"/>
  <c r="F20" i="18"/>
  <c r="F9" i="18"/>
  <c r="G9" i="18" s="1"/>
  <c r="G5" i="18"/>
  <c r="F5" i="18"/>
  <c r="E9" i="18"/>
  <c r="E20" i="18"/>
  <c r="D9" i="18"/>
  <c r="D5" i="18"/>
  <c r="D20" i="18"/>
</calcChain>
</file>

<file path=xl/sharedStrings.xml><?xml version="1.0" encoding="utf-8"?>
<sst xmlns="http://schemas.openxmlformats.org/spreadsheetml/2006/main" count="552" uniqueCount="411">
  <si>
    <t>г. Томск,  ул. Тимакова 21, стр.9 офис 1, тел: 8 (3822) 48-25-82, 42-03-39</t>
  </si>
  <si>
    <t>http://www.fmf-irbis.ru</t>
  </si>
  <si>
    <t>ПРАЙС-ЛИСТ на фасады МДФ, ламинированные ПВХ и ПЭТ пленками</t>
  </si>
  <si>
    <t xml:space="preserve">               для мебельных компаний, работающих на постоянной основе</t>
  </si>
  <si>
    <t>Наценка для частных клиентов  + 25%</t>
  </si>
  <si>
    <t>1. Стоимость прямых фасадов 16мм  (руб/м2)</t>
  </si>
  <si>
    <t>Каталог               ПВХ пленок</t>
  </si>
  <si>
    <t>Материал поверхности</t>
  </si>
  <si>
    <t>Фрезеровки</t>
  </si>
  <si>
    <t xml:space="preserve">1 группа     </t>
  </si>
  <si>
    <t xml:space="preserve">2 группа   </t>
  </si>
  <si>
    <t xml:space="preserve">3 группа        </t>
  </si>
  <si>
    <t xml:space="preserve">4 группа    </t>
  </si>
  <si>
    <t>ПВХ пленка                    (Китай)</t>
  </si>
  <si>
    <t>Стандарт 1</t>
  </si>
  <si>
    <t>Стандарт 2</t>
  </si>
  <si>
    <t>Стандарт 3</t>
  </si>
  <si>
    <t>Стандарт 4</t>
  </si>
  <si>
    <t>Престиж 1</t>
  </si>
  <si>
    <t>ПВХ, ПЭТ пленка    (Германия)</t>
  </si>
  <si>
    <t>Престиж 2</t>
  </si>
  <si>
    <t>Престиж 3</t>
  </si>
  <si>
    <t>Престиж 4</t>
  </si>
  <si>
    <t>-</t>
  </si>
  <si>
    <t>2. Стоимость прямых фасадов 19мм (руб/м2)</t>
  </si>
  <si>
    <t>Каталог                    ПВХ пленок</t>
  </si>
  <si>
    <t xml:space="preserve">3. Стоимость гнутого фасада  (руб/м2) равна </t>
  </si>
  <si>
    <t>стоимости соответствующего прямого фасада</t>
  </si>
  <si>
    <t>руб/м2</t>
  </si>
  <si>
    <t>Сложные фрезеровки производятся только на фасадах с матовыми пленками</t>
  </si>
  <si>
    <t>Обратная сторона ламинирована ПВХ пленкой, текстура - Белый полуглянец  (каталог Престиж)</t>
  </si>
  <si>
    <t>4. Минимальная стоимость гнутого фасада равна стоимости соответствующего гнутого фасада высотой 356 мм</t>
  </si>
  <si>
    <t>стр 1</t>
  </si>
  <si>
    <t>5. Стоимость прямых ПАТИНИРОВАННЫХ фасадов 16мм  (руб/м2)</t>
  </si>
  <si>
    <t>Каталог</t>
  </si>
  <si>
    <t xml:space="preserve">Престиж 1 </t>
  </si>
  <si>
    <t>6. Стоимость прямых ПАТИНИРОВАННЫХ фасадов 19мм  (руб/м2)</t>
  </si>
  <si>
    <t xml:space="preserve">7. Стоимость гнутого ПАТИНИРОВАННОГО фасада (руб/м2) равна </t>
  </si>
  <si>
    <t>стоимости соответствующего прямого  ПАТИНИРОВАННОГО фасада</t>
  </si>
  <si>
    <t xml:space="preserve">8. Минимальная стоимость гнутого ПАТИНИРОВАННОГО фасада равна </t>
  </si>
  <si>
    <t>стоимости соответствующего гнутого ПАТИНИРОВАННОГО фасада высотой 356 мм</t>
  </si>
  <si>
    <t>стр 2</t>
  </si>
  <si>
    <t>09. Текстуры ПВХ пленок Каталога Стандарт</t>
  </si>
  <si>
    <t>Дуб рустикальный молочный</t>
  </si>
  <si>
    <t>Дуб Гальяно натуральный</t>
  </si>
  <si>
    <t>Бетон кремовый</t>
  </si>
  <si>
    <t>Дуб рустикальный серый</t>
  </si>
  <si>
    <t>Дуб Гальяно светлый</t>
  </si>
  <si>
    <t>Бетон серо-голубой</t>
  </si>
  <si>
    <t>Дуб рустикальный соломенный</t>
  </si>
  <si>
    <t>Дуб Европейский красный**</t>
  </si>
  <si>
    <t>Дуб Асбери арктический**</t>
  </si>
  <si>
    <t>Силк орхидея</t>
  </si>
  <si>
    <t>Дуб Европейский серый**</t>
  </si>
  <si>
    <t>Дуб Асбери бежевый**</t>
  </si>
  <si>
    <t>Синга шампань</t>
  </si>
  <si>
    <t>Дуб Европейский соломенный**</t>
  </si>
  <si>
    <t>Дуб Асбери белый**</t>
  </si>
  <si>
    <t>Дуб Мичиганский</t>
  </si>
  <si>
    <t>Дуб Асбери голубой**</t>
  </si>
  <si>
    <t>Дуб скальный капучиновый</t>
  </si>
  <si>
    <t>Дуб Асбери горчичный**</t>
  </si>
  <si>
    <t>Дуб скальный кофейный</t>
  </si>
  <si>
    <t>Дуб Асбери графитовый**</t>
  </si>
  <si>
    <t>Дуб Асбери джинсовый**</t>
  </si>
  <si>
    <t>Дуб Филадельфия мокко**</t>
  </si>
  <si>
    <t>Дуб Асбери кофейный**</t>
  </si>
  <si>
    <t>Мадлен беж</t>
  </si>
  <si>
    <t>Дуб Асбери кремовый**</t>
  </si>
  <si>
    <t>Дуб Асбери оливковый**</t>
  </si>
  <si>
    <t>Дуб Асбери серый**</t>
  </si>
  <si>
    <t>Дуб Асбери синий**</t>
  </si>
  <si>
    <t>Дуб Асбери темно-бирюзовый**</t>
  </si>
  <si>
    <t>Камень светлый</t>
  </si>
  <si>
    <t>Камень темный</t>
  </si>
  <si>
    <t>Ясень полярный молочный**</t>
  </si>
  <si>
    <t>Ясень ривьера кремовый</t>
  </si>
  <si>
    <t>Ясень ривьера радужный</t>
  </si>
  <si>
    <t>Ясень ривьера серый</t>
  </si>
  <si>
    <t>Акация темная</t>
  </si>
  <si>
    <t>Сатин мокко</t>
  </si>
  <si>
    <t>Силк муссон</t>
  </si>
  <si>
    <t>Дуб Рединг бирюзовый**</t>
  </si>
  <si>
    <t>Сатин панакота</t>
  </si>
  <si>
    <t>Силк мята</t>
  </si>
  <si>
    <t>Дуб Рединг кремовый**</t>
  </si>
  <si>
    <t>Сатин серо-коричневый</t>
  </si>
  <si>
    <t>Силк пыльная роза</t>
  </si>
  <si>
    <t>Сатин бежевый</t>
  </si>
  <si>
    <t>Сатин фисташка</t>
  </si>
  <si>
    <t>Силк светло-бежевый</t>
  </si>
  <si>
    <t>Сатин бирюза</t>
  </si>
  <si>
    <t>Силк анис</t>
  </si>
  <si>
    <t>Силк серый</t>
  </si>
  <si>
    <t>Сатин джелато</t>
  </si>
  <si>
    <t>Силк вояж</t>
  </si>
  <si>
    <t>Силк тирамису</t>
  </si>
  <si>
    <t>Сатин кашемир</t>
  </si>
  <si>
    <t>Силк зефир</t>
  </si>
  <si>
    <t>Силк титан</t>
  </si>
  <si>
    <t>Сатин латте</t>
  </si>
  <si>
    <t>Силк камелия</t>
  </si>
  <si>
    <t xml:space="preserve">Силк топаз </t>
  </si>
  <si>
    <t>Сатин милк</t>
  </si>
  <si>
    <t>Силк крем</t>
  </si>
  <si>
    <t xml:space="preserve">Белоснежный глянец </t>
  </si>
  <si>
    <t>Софт белый снег</t>
  </si>
  <si>
    <t>Софт кашемир</t>
  </si>
  <si>
    <t>Молочно-белый глянец</t>
  </si>
  <si>
    <t>Софт капучино</t>
  </si>
  <si>
    <t>Софт мята</t>
  </si>
  <si>
    <t>* патинируются по фрезеровке</t>
  </si>
  <si>
    <t>** патинируются полностью</t>
  </si>
  <si>
    <t>Стр 3</t>
  </si>
  <si>
    <t xml:space="preserve">10. Текстуры ПВХ и ПЭТ пленок Каталога Престиж </t>
  </si>
  <si>
    <t>Акация</t>
  </si>
  <si>
    <t>Synchro Дуб Галифакс табачный</t>
  </si>
  <si>
    <t>Белый полуглянец</t>
  </si>
  <si>
    <t>Белый квазар **</t>
  </si>
  <si>
    <t>Бетон белый **</t>
  </si>
  <si>
    <t>Премьер мат ПЭТ Белый аркт.</t>
  </si>
  <si>
    <t>Белый мел *</t>
  </si>
  <si>
    <t>Бетон светлый **</t>
  </si>
  <si>
    <t>Премьер мат ПЭТ Жасмин</t>
  </si>
  <si>
    <t>Ваниль темная *</t>
  </si>
  <si>
    <t>Бетон темный **</t>
  </si>
  <si>
    <t>Премьер мат ПЭТ Серый вольфрам</t>
  </si>
  <si>
    <t>Ванильное дерево **</t>
  </si>
  <si>
    <t>Вяз Китами темный</t>
  </si>
  <si>
    <t>Премьер мат ПЭТ Темно-серый</t>
  </si>
  <si>
    <t>Вольфрам серый *</t>
  </si>
  <si>
    <t>Деним *</t>
  </si>
  <si>
    <t xml:space="preserve">Премьер мат ПЭТ Черный </t>
  </si>
  <si>
    <t>Голубая структурная</t>
  </si>
  <si>
    <t>Дуб Бартек светлый</t>
  </si>
  <si>
    <t>Супер мат PST Алебастр</t>
  </si>
  <si>
    <t>Дуб белый **</t>
  </si>
  <si>
    <t>Дуб Бартек соломенный</t>
  </si>
  <si>
    <t xml:space="preserve">Супер мат PST Белый платиновый </t>
  </si>
  <si>
    <t>Дуб Винчестер *</t>
  </si>
  <si>
    <t>Дуб Грэндсон светлый</t>
  </si>
  <si>
    <t>Супер мат PST Зеленый горный</t>
  </si>
  <si>
    <t>Дуб Ланселот *</t>
  </si>
  <si>
    <t>Дуб Сонома</t>
  </si>
  <si>
    <t>Супер мат PST Зеленый тростник</t>
  </si>
  <si>
    <t>Дуб Харбор винтажный</t>
  </si>
  <si>
    <t>Камень серый антрацит **</t>
  </si>
  <si>
    <t>Супер мат PST Кашемир</t>
  </si>
  <si>
    <t>Дуб Харбор золотой</t>
  </si>
  <si>
    <t>Супер мат PST Серая ангора</t>
  </si>
  <si>
    <t>Жасмин *</t>
  </si>
  <si>
    <t>Макалу темно-серый **</t>
  </si>
  <si>
    <t>Супер мат PST Серая глина</t>
  </si>
  <si>
    <t>Кашемир светлый *</t>
  </si>
  <si>
    <t>Мюсель *</t>
  </si>
  <si>
    <t>Супер мат PST Серо-коричневый</t>
  </si>
  <si>
    <t>Магнолия структурная</t>
  </si>
  <si>
    <t>Платина белая *</t>
  </si>
  <si>
    <t>Супер мат PST Серый жемчужный</t>
  </si>
  <si>
    <t>Мелинга белая</t>
  </si>
  <si>
    <t>Светло-серый *</t>
  </si>
  <si>
    <t>Супер мат PST Серый камень</t>
  </si>
  <si>
    <t>Орех Амати *</t>
  </si>
  <si>
    <t>Серый *</t>
  </si>
  <si>
    <t>Супер мат PST Серый кубанит</t>
  </si>
  <si>
    <t>Пекан белый **</t>
  </si>
  <si>
    <t>Серый оникс *</t>
  </si>
  <si>
    <t>Супер мат PST Серый оникс</t>
  </si>
  <si>
    <t>Ультра Античная роза *</t>
  </si>
  <si>
    <t>Снежно-белый *</t>
  </si>
  <si>
    <t>Супер мат PST Серый светлый</t>
  </si>
  <si>
    <t>Ультра Белый *</t>
  </si>
  <si>
    <t>Сосна Андерсон белая</t>
  </si>
  <si>
    <t>Ультра Дакар *</t>
  </si>
  <si>
    <t>Ультра Зеленый лабрадорский *</t>
  </si>
  <si>
    <t>Фьорд *</t>
  </si>
  <si>
    <t>Ультра Зеленый лесной *</t>
  </si>
  <si>
    <t>Ультра Мюсель *</t>
  </si>
  <si>
    <t>Ультра Парижский синий *</t>
  </si>
  <si>
    <t>Ультра Серый камень *</t>
  </si>
  <si>
    <t>Ультра Серый пепельный *</t>
  </si>
  <si>
    <t>Ультра Черный *</t>
  </si>
  <si>
    <t>Ясень баварский стоун грей **</t>
  </si>
  <si>
    <t>Высокий глянец ПЭТ Сахара</t>
  </si>
  <si>
    <t>Стр 4</t>
  </si>
  <si>
    <t>11. Цвета патины</t>
  </si>
  <si>
    <t>Золото сусальное</t>
  </si>
  <si>
    <t>Платина</t>
  </si>
  <si>
    <t>Серо-коричневая</t>
  </si>
  <si>
    <t>Латунь (Золото античное)</t>
  </si>
  <si>
    <t>Серебро</t>
  </si>
  <si>
    <t>Темно-коричневая</t>
  </si>
  <si>
    <t>12. Виды фрезеровок</t>
  </si>
  <si>
    <t>1 группа</t>
  </si>
  <si>
    <t xml:space="preserve">2 группа </t>
  </si>
  <si>
    <t>3 группа</t>
  </si>
  <si>
    <t>Карре **</t>
  </si>
  <si>
    <t xml:space="preserve">Аверса </t>
  </si>
  <si>
    <t>Альби * **</t>
  </si>
  <si>
    <t>Карре лайт**</t>
  </si>
  <si>
    <t xml:space="preserve">Аверса с косичкой </t>
  </si>
  <si>
    <t>Бристоль * **</t>
  </si>
  <si>
    <t>Квадрат</t>
  </si>
  <si>
    <t xml:space="preserve">Виченца </t>
  </si>
  <si>
    <t>Имитация сборного рамка 60</t>
  </si>
  <si>
    <t>Модерн 1</t>
  </si>
  <si>
    <t>Виченца лайт</t>
  </si>
  <si>
    <t>Имитация сборного рамка 70</t>
  </si>
  <si>
    <t xml:space="preserve">Модерн 3 </t>
  </si>
  <si>
    <t>Дюна * **</t>
  </si>
  <si>
    <t>Имитация сборного рамка 88</t>
  </si>
  <si>
    <t xml:space="preserve">Модерн 7 </t>
  </si>
  <si>
    <t>Капри</t>
  </si>
  <si>
    <t>Кардифф * **</t>
  </si>
  <si>
    <t>Псевдорамка</t>
  </si>
  <si>
    <t>Капри с косичкой</t>
  </si>
  <si>
    <t>Ливерпуль **</t>
  </si>
  <si>
    <t>Капри лайт</t>
  </si>
  <si>
    <t>Лидс **</t>
  </si>
  <si>
    <t>Капри лайт с косичкой</t>
  </si>
  <si>
    <t>Манчестер * **</t>
  </si>
  <si>
    <t>Мальта *</t>
  </si>
  <si>
    <t>Оксфорд **</t>
  </si>
  <si>
    <t>Мальта с косичкой *</t>
  </si>
  <si>
    <t>Престон **</t>
  </si>
  <si>
    <t>Понца</t>
  </si>
  <si>
    <t>Честер * **</t>
  </si>
  <si>
    <t xml:space="preserve">Понца с косичкой </t>
  </si>
  <si>
    <t>Рейки Шампань * **</t>
  </si>
  <si>
    <t>Тренто</t>
  </si>
  <si>
    <t>Тренто с косичкой</t>
  </si>
  <si>
    <t>Шато *</t>
  </si>
  <si>
    <t>Шато с косичкой *</t>
  </si>
  <si>
    <t>4 группа</t>
  </si>
  <si>
    <t>Авиньон * **</t>
  </si>
  <si>
    <t>*  Производятся и на прямых и на гнутых фасадах, но только толщиной 19 мм</t>
  </si>
  <si>
    <t>**  Производятся только на прямых фасадах толщиной 16 мм и 19 мм</t>
  </si>
  <si>
    <t xml:space="preserve">* ** Производятся только на прямых фасадах и только толщиной 19 мм </t>
  </si>
  <si>
    <t>13. Стоимость нестандартной фрезеровки по краю (руб/м2)</t>
  </si>
  <si>
    <t>Минимальная стоимость равна стоимости  0,2 м2</t>
  </si>
  <si>
    <t>толщина 16мм и 19 мм (одна цена)</t>
  </si>
  <si>
    <t>Наименование</t>
  </si>
  <si>
    <t>Стандарт</t>
  </si>
  <si>
    <t>Стандарт + Патина</t>
  </si>
  <si>
    <t>Престиж</t>
  </si>
  <si>
    <t>Престиж + Патина</t>
  </si>
  <si>
    <t xml:space="preserve">Нестандартная фрезеровка по краю </t>
  </si>
  <si>
    <t xml:space="preserve">14. Стоимость нестандартной фрезеровки по пласти (руб/м2)  </t>
  </si>
  <si>
    <t>Нестандартная фрезеровка по пласти</t>
  </si>
  <si>
    <t>15. Вырезы под стекло на фасадах с нестандартными фрезеровками не изготавливаем</t>
  </si>
  <si>
    <t>Стр 5</t>
  </si>
  <si>
    <t>16. Стоимость декоративных элементов, расчет по которым ведется за м2</t>
  </si>
  <si>
    <t>Минимальная стоимость одного декоративного элемента равна стоимости 0,1 м2</t>
  </si>
  <si>
    <t>толщина 16 мм и 19 мм (одна цена)</t>
  </si>
  <si>
    <t>Буазери (10 мм, 16 мм, 19 мм)</t>
  </si>
  <si>
    <t>Кокошник № 1 (под пилястры 50 мм)</t>
  </si>
  <si>
    <t>Кокошник № 2 (под пилястры 75 мм)</t>
  </si>
  <si>
    <t>Подставка под бутылки</t>
  </si>
  <si>
    <t>Бутылочница декоративная № 1                                                                                             (ширины только 146-150 и 196-200 мм)</t>
  </si>
  <si>
    <t>Бутылочница декоративная № 2                                                                 (ширины только 146-150 и 196-200 мм)</t>
  </si>
  <si>
    <t>Кокошник декоративный № 1                              (под пилястры 75 мм)</t>
  </si>
  <si>
    <t xml:space="preserve">Кокошник декоративный № 2 </t>
  </si>
  <si>
    <t>Кокошник декоративный № 3</t>
  </si>
  <si>
    <t xml:space="preserve">Кокошник декоративный № 4 </t>
  </si>
  <si>
    <t>Кокошник декоративный № 5</t>
  </si>
  <si>
    <t>Портальная накладка декоративная № 1</t>
  </si>
  <si>
    <t xml:space="preserve">Вставка решетка-плетенка (3мм) *             </t>
  </si>
  <si>
    <t>17. Стоимость декоративных элементов, расчет по которым ведется за м.п. - Погонажные изделия</t>
  </si>
  <si>
    <t>Минимальная  стоимость одного декоративного элемента равна стоимости 1 м.п.</t>
  </si>
  <si>
    <t>Карниз нижний № 4 (толщина 16мм)</t>
  </si>
  <si>
    <t>Карниз верхний № 5</t>
  </si>
  <si>
    <t>Карниз нижний № 2 (толщина 16мм)</t>
  </si>
  <si>
    <t>Карниз нижний № 3 (толщина 16мм)</t>
  </si>
  <si>
    <t>Карниз нижний № 5 (толщина 16мм)</t>
  </si>
  <si>
    <t>Пилястра каннелюр (50 мм)</t>
  </si>
  <si>
    <t>Пилястра каннелюр (75 мм)</t>
  </si>
  <si>
    <t>Пилястра квадро (50 мм)</t>
  </si>
  <si>
    <t>Пилястра квадро (75 мм)</t>
  </si>
  <si>
    <t>Карниз верхний № 7</t>
  </si>
  <si>
    <t>Пилястра декоративная № 1 (50 мм)</t>
  </si>
  <si>
    <t>Пилястра декоративная № 2 (75 мм)</t>
  </si>
  <si>
    <t>Пилястра декоративная № 3 (50 мм)</t>
  </si>
  <si>
    <t>Пилястра декоративная № 4 (50 мм)</t>
  </si>
  <si>
    <t>Пилястра декоративная № 5 (75 мм)</t>
  </si>
  <si>
    <t>Пилястра декоративная № 6 (75 мм)</t>
  </si>
  <si>
    <t>Цоколь декоративный (70мм-150мм)                                             (толщина 16мм)</t>
  </si>
  <si>
    <t>Все карнизы производятся двух длин: 1000 мм и 2300 мм</t>
  </si>
  <si>
    <t>Стр 6</t>
  </si>
  <si>
    <t>18. Стоимость декоративных элементов, расчет по которым ведется за 1 шт.</t>
  </si>
  <si>
    <t>Карниз верхний гнутый № 5 (R300)</t>
  </si>
  <si>
    <t>Карниз верхний гнутый № 7 (R300)</t>
  </si>
  <si>
    <t>Карниз нижний гнутый № 2 (R300)</t>
  </si>
  <si>
    <t>Карниз нижний гнутый № 3 (R300)</t>
  </si>
  <si>
    <t>Карниз нижний гнутый № 4 (R300)</t>
  </si>
  <si>
    <t>Карниз нижний гнутый № 5 (R300)</t>
  </si>
  <si>
    <t>Корона декоративная</t>
  </si>
  <si>
    <t>Цоколь декоративный гнутый (R300)</t>
  </si>
  <si>
    <t>заказ будет рассчитан исходя из площади каждого фасада = 0,1м2</t>
  </si>
  <si>
    <t>Стоимость</t>
  </si>
  <si>
    <t>Решетка - крест 4 окошка</t>
  </si>
  <si>
    <t xml:space="preserve">+ </t>
  </si>
  <si>
    <t>рублей за 1 м2 к стоимости соответствующего фасада</t>
  </si>
  <si>
    <t>Решетка - крест 6 окошек</t>
  </si>
  <si>
    <t>Решетка - крест 8 окошек</t>
  </si>
  <si>
    <t>Решетка - крест горизонтальная  6 окошек</t>
  </si>
  <si>
    <t>Решетка - крест горизонтальная  8 окошек</t>
  </si>
  <si>
    <t>Средняя площадь кухонного фасада равна 0,25 м2, соответственно, надбавка за решетку в среднем составляет 200 руб за фасад</t>
  </si>
  <si>
    <t>Решетки производятся только на прямых фасадах, ламинированных  матовыми пленками ПВХ</t>
  </si>
  <si>
    <t>Решетки производятся на всех фрезеровках, кроме:</t>
  </si>
  <si>
    <t>Ливерпуль, Манчестер,   Престон,  Честер, Дюна, Авиньон, Рейки Шампань</t>
  </si>
  <si>
    <t>Фасад с двойной филенкой для кухни (тип K)</t>
  </si>
  <si>
    <t>Аналогична стоимости соответствующей фрезеровки</t>
  </si>
  <si>
    <t>Фасад с двойной филенкой для гардероба (тип W)</t>
  </si>
  <si>
    <t>Фасад с двойной филенкой для кухни - поперечная планка согласована с фасадом 716 мм</t>
  </si>
  <si>
    <t>Фасад с двойной филенкой для гардероба - поперечная планка рассчитана из того,</t>
  </si>
  <si>
    <t xml:space="preserve"> что ручка-кнопка (и соответственно центр планки),</t>
  </si>
  <si>
    <t>должна находиться на 1000 мм от пола при царге 70 мм</t>
  </si>
  <si>
    <t>Стр 7</t>
  </si>
  <si>
    <t>Боковина 1</t>
  </si>
  <si>
    <t>к стоимости Модерн 1</t>
  </si>
  <si>
    <t>Боковина 3</t>
  </si>
  <si>
    <t>Размеры боковины:</t>
  </si>
  <si>
    <t xml:space="preserve">по высоте </t>
  </si>
  <si>
    <t>от 2351 до 2750</t>
  </si>
  <si>
    <t>по ширине</t>
  </si>
  <si>
    <t>от 300 до 600</t>
  </si>
  <si>
    <t>Данная фрезеровка сочетается только с матовыми пленками</t>
  </si>
  <si>
    <t>Стр 8</t>
  </si>
  <si>
    <t>Приложение 1 (Техническая информация):</t>
  </si>
  <si>
    <t>Максимальный размер прямого фасада (текстура пленки вертикально) = 2350х800мм или 800х1200</t>
  </si>
  <si>
    <t>два размера не могут быть одновременно более 800мм и при высоте более 2000 мм ширина не более 600 мм</t>
  </si>
  <si>
    <t>Максимальный размер прямого фасада (текстура пленки горизонтально) = 800х2350мм или 1200х800</t>
  </si>
  <si>
    <t>Максимальная высота гнутого фасада (текстура пленки вертикально) = 1500 мм</t>
  </si>
  <si>
    <t>Минимальная высота гнутого фасада (кроме фрезеровки Мальта ) = 50 мм</t>
  </si>
  <si>
    <t>Минимальный размер прямого фасада (кроме Модерн 3, Модерн 1, Мальты и Дюны, Авиньон, Альби) = 296х50 мм</t>
  </si>
  <si>
    <t>Минимальный размер Модерн 3  и Модерн 1 = 100х35 мм</t>
  </si>
  <si>
    <t>Минимальный размер Мальты, Авиньон, Альби  = 296х100 мм</t>
  </si>
  <si>
    <t>Минимальный размер Дюны  = 100х296 мм или 296х146 мм</t>
  </si>
  <si>
    <t>Минимальный размер фасада под стекло - Витрина = 296х296 мм</t>
  </si>
  <si>
    <t>Минимальный размер Решетки - крест 4 окошка = 296х296 мм</t>
  </si>
  <si>
    <t>Минимальный размер Решетки - крест 6 окошек = 396х296 мм</t>
  </si>
  <si>
    <t>Минимальный размер Решетки - крест 8 окошек = 496х296 мм</t>
  </si>
  <si>
    <t>Минимальный размер Решетки - крест горизонтальной 6 окошек = 296х396 мм</t>
  </si>
  <si>
    <t>Минимальный размер Решетки - крест горизонтальной 8 окошек = 296х496 мм</t>
  </si>
  <si>
    <t>Минимальная высота Фасада с двойной филенкой для гардероба = 2000 мм</t>
  </si>
  <si>
    <t>Минимальная высота Фасада с двойной филенкой для кухни = 1500 мм</t>
  </si>
  <si>
    <t>Таблица стандартных размеров для вставки решетка-плетенка</t>
  </si>
  <si>
    <t>*</t>
  </si>
  <si>
    <t>50 мм с каждой стороны вставки решетка-плетенка не фрезеруются</t>
  </si>
  <si>
    <t>Все погонажные изделия имеют только одно направление текстуры - вдоль длинной стороны</t>
  </si>
  <si>
    <t>Стр 9</t>
  </si>
  <si>
    <t>Приложение 2.1 (Изменения в каталогах):</t>
  </si>
  <si>
    <t>Стр 10</t>
  </si>
  <si>
    <t>Базовая цена - Простые фрезеровки на плите толщиной 16мм</t>
  </si>
  <si>
    <t>Наценки</t>
  </si>
  <si>
    <t>Фрезеровки 1 группа</t>
  </si>
  <si>
    <t>Фрезеровки 2 группа</t>
  </si>
  <si>
    <t>Фрезеровки 3 группа</t>
  </si>
  <si>
    <t>Фрезеровка 4 группа</t>
  </si>
  <si>
    <t>Плита 19 мм</t>
  </si>
  <si>
    <t>Патина</t>
  </si>
  <si>
    <t>Основа гнутого фасада</t>
  </si>
  <si>
    <t>Валанс * **</t>
  </si>
  <si>
    <t>Аоста *</t>
  </si>
  <si>
    <t>г. Новосибирск, ул. Бетонная 4, офис 115, тел: 8 (383) 353-48-80</t>
  </si>
  <si>
    <t>Стандарт 5</t>
  </si>
  <si>
    <t>Новые текстуры в Каталоге Стандарт:</t>
  </si>
  <si>
    <t>Luxury mat Белый арктический</t>
  </si>
  <si>
    <t>Luxury mat Серый светлый</t>
  </si>
  <si>
    <t>Luxury mat Белый снежный</t>
  </si>
  <si>
    <t>Luxury mat Графит</t>
  </si>
  <si>
    <t>Luxury mat Кашемир</t>
  </si>
  <si>
    <t>Luxury mat Серый</t>
  </si>
  <si>
    <t>Высокий глянец ПЭТ Белый</t>
  </si>
  <si>
    <t>Высокий глянец ПЭТ Жасмин</t>
  </si>
  <si>
    <t>Высокий глянец ПЭТ Кашемир</t>
  </si>
  <si>
    <t>толщина 16 мм и 19 мм (одна цена), направление текстуры всегда вдоль длинной стороны</t>
  </si>
  <si>
    <t>* Вставка решетка-плетенка  производится только стандартных размеров и только в матовых пленках</t>
  </si>
  <si>
    <t>Стандарт 4 глянцевые</t>
  </si>
  <si>
    <t>Стандарт 4 матовые</t>
  </si>
  <si>
    <t>Лиственница Сардиния серебр. Лед</t>
  </si>
  <si>
    <t>Luxury mat Тоффи</t>
  </si>
  <si>
    <t>Luxury mat Деним</t>
  </si>
  <si>
    <t>Luxury mat Зеленый горный</t>
  </si>
  <si>
    <t>Luxury mat Серый темный</t>
  </si>
  <si>
    <t>Luxury mat Фьорд</t>
  </si>
  <si>
    <t>Шампери</t>
  </si>
  <si>
    <t>Luxury mat Жасмин</t>
  </si>
  <si>
    <t>Гарантия на отклейку ПВХ пленок Каталога Стандарт - 2 года.</t>
  </si>
  <si>
    <t>Гарантия на отклейку ПВХ и ПЭТ пленок Каталога Престиж - 5 лет.</t>
  </si>
  <si>
    <t>Гарантия на стабильность цвета дается только на все пленки из  Каталога Престиж.</t>
  </si>
  <si>
    <t>Сняты с продаж текстуры в Каталоге Стандарт:</t>
  </si>
  <si>
    <t>Дуб Филадельфия коньяк</t>
  </si>
  <si>
    <t>Сняты с продаж все балюстрады</t>
  </si>
  <si>
    <t xml:space="preserve">19. Если средняя площадь прямых фасадов в заказе менее 0,1 м2, </t>
  </si>
  <si>
    <t xml:space="preserve">20. Стоимость прямых фасадов - решеток   </t>
  </si>
  <si>
    <t>21. Стоимость прямых фасадов с двойной филенкой (Только глухие)</t>
  </si>
  <si>
    <t>22. Стоимость боковины</t>
  </si>
  <si>
    <t>23. Фасады с пленками глянцы исполняются только в фрезеровках Модерн</t>
  </si>
  <si>
    <t xml:space="preserve">Стоун грей </t>
  </si>
  <si>
    <t>Luxury mat Серый агат</t>
  </si>
  <si>
    <t>Luxury mat Серый альпака</t>
  </si>
  <si>
    <t>Luxury mat Серый Бенжамин</t>
  </si>
  <si>
    <t xml:space="preserve">Luxury mat Серый теплый </t>
  </si>
  <si>
    <t>У Каталога Стандарт полностью новая раскладка</t>
  </si>
  <si>
    <t>Сняты с продаж текстуры в Каталоге Престиж:</t>
  </si>
  <si>
    <t>Шампери * **</t>
  </si>
  <si>
    <t>Новая фрезеровка:</t>
  </si>
  <si>
    <t>с 15.09.2024</t>
  </si>
  <si>
    <t>Будут доступны к заказу с 01 октября 2024</t>
  </si>
  <si>
    <t xml:space="preserve">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</si>
</sst>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i/>
      <u/>
      <sz val="14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</font>
    <font>
      <b/>
      <sz val="14"/>
      <name val="Arial Cyr"/>
      <charset val="204"/>
    </font>
    <font>
      <sz val="8"/>
      <name val="Arial"/>
      <family val="2"/>
    </font>
    <font>
      <i/>
      <u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51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3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left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center" wrapText="1"/>
    </xf>
    <xf numFmtId="3" fontId="7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" fontId="2" fillId="0" borderId="0" xfId="0" applyNumberFormat="1" applyFont="1" applyAlignment="1">
      <alignment horizontal="left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3" fontId="2" fillId="0" borderId="47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8" fillId="0" borderId="0" xfId="0" applyNumberFormat="1" applyFont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3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left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left" vertical="center"/>
    </xf>
    <xf numFmtId="3" fontId="2" fillId="2" borderId="9" xfId="0" applyNumberFormat="1" applyFont="1" applyFill="1" applyBorder="1" applyAlignment="1">
      <alignment horizontal="left" vertical="center" wrapText="1"/>
    </xf>
    <xf numFmtId="3" fontId="7" fillId="2" borderId="6" xfId="0" applyNumberFormat="1" applyFont="1" applyFill="1" applyBorder="1" applyAlignment="1">
      <alignment horizontal="left" vertical="center" wrapText="1"/>
    </xf>
    <xf numFmtId="3" fontId="2" fillId="0" borderId="45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3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3" fontId="7" fillId="2" borderId="14" xfId="0" applyNumberFormat="1" applyFont="1" applyFill="1" applyBorder="1" applyAlignment="1">
      <alignment horizontal="left" vertical="center"/>
    </xf>
    <xf numFmtId="3" fontId="2" fillId="2" borderId="45" xfId="0" applyNumberFormat="1" applyFont="1" applyFill="1" applyBorder="1" applyAlignment="1">
      <alignment horizontal="left" vertical="center"/>
    </xf>
    <xf numFmtId="3" fontId="2" fillId="2" borderId="4" xfId="0" applyNumberFormat="1" applyFont="1" applyFill="1" applyBorder="1" applyAlignment="1">
      <alignment horizontal="left" vertical="center" wrapText="1"/>
    </xf>
    <xf numFmtId="3" fontId="7" fillId="2" borderId="46" xfId="0" applyNumberFormat="1" applyFont="1" applyFill="1" applyBorder="1" applyAlignment="1">
      <alignment horizontal="left" vertical="center" wrapText="1"/>
    </xf>
    <xf numFmtId="49" fontId="7" fillId="2" borderId="13" xfId="0" applyNumberFormat="1" applyFont="1" applyFill="1" applyBorder="1" applyAlignment="1">
      <alignment horizontal="left" vertical="center" wrapText="1"/>
    </xf>
    <xf numFmtId="49" fontId="2" fillId="2" borderId="14" xfId="0" applyNumberFormat="1" applyFont="1" applyFill="1" applyBorder="1" applyAlignment="1">
      <alignment horizontal="left" vertical="center" wrapText="1"/>
    </xf>
    <xf numFmtId="3" fontId="7" fillId="2" borderId="8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45" xfId="0" applyNumberFormat="1" applyFont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50" xfId="0" applyNumberFormat="1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62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left"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left" vertical="center"/>
    </xf>
    <xf numFmtId="3" fontId="2" fillId="2" borderId="11" xfId="0" applyNumberFormat="1" applyFont="1" applyFill="1" applyBorder="1" applyAlignment="1">
      <alignment horizontal="left" vertical="center"/>
    </xf>
    <xf numFmtId="3" fontId="2" fillId="2" borderId="14" xfId="0" applyNumberFormat="1" applyFont="1" applyFill="1" applyBorder="1" applyAlignment="1">
      <alignment horizontal="left" vertical="center"/>
    </xf>
    <xf numFmtId="3" fontId="2" fillId="2" borderId="63" xfId="0" applyNumberFormat="1" applyFont="1" applyFill="1" applyBorder="1" applyAlignment="1">
      <alignment horizontal="left" vertical="center"/>
    </xf>
    <xf numFmtId="3" fontId="7" fillId="2" borderId="2" xfId="0" applyNumberFormat="1" applyFont="1" applyFill="1" applyBorder="1" applyAlignment="1">
      <alignment horizontal="left" vertical="center"/>
    </xf>
    <xf numFmtId="3" fontId="2" fillId="2" borderId="3" xfId="0" applyNumberFormat="1" applyFont="1" applyFill="1" applyBorder="1" applyAlignment="1">
      <alignment horizontal="left" vertical="center" wrapText="1"/>
    </xf>
    <xf numFmtId="3" fontId="2" fillId="2" borderId="10" xfId="0" applyNumberFormat="1" applyFont="1" applyFill="1" applyBorder="1" applyAlignment="1">
      <alignment horizontal="left"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left" vertical="center" wrapText="1"/>
    </xf>
    <xf numFmtId="3" fontId="7" fillId="2" borderId="11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Border="1" applyAlignment="1">
      <alignment horizontal="left" vertical="center" wrapText="1"/>
    </xf>
    <xf numFmtId="3" fontId="2" fillId="0" borderId="5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center" wrapText="1"/>
    </xf>
    <xf numFmtId="3" fontId="2" fillId="0" borderId="55" xfId="0" applyNumberFormat="1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49" fontId="2" fillId="2" borderId="12" xfId="0" applyNumberFormat="1" applyFont="1" applyFill="1" applyBorder="1" applyAlignment="1">
      <alignment horizontal="left" vertical="center" wrapText="1"/>
    </xf>
    <xf numFmtId="3" fontId="2" fillId="2" borderId="8" xfId="0" applyNumberFormat="1" applyFont="1" applyFill="1" applyBorder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center" wrapText="1"/>
    </xf>
    <xf numFmtId="3" fontId="7" fillId="2" borderId="31" xfId="0" applyNumberFormat="1" applyFont="1" applyFill="1" applyBorder="1" applyAlignment="1">
      <alignment horizontal="left" vertical="center"/>
    </xf>
    <xf numFmtId="3" fontId="2" fillId="2" borderId="35" xfId="0" applyNumberFormat="1" applyFont="1" applyFill="1" applyBorder="1" applyAlignment="1">
      <alignment horizontal="left" vertical="center" wrapText="1"/>
    </xf>
    <xf numFmtId="49" fontId="7" fillId="2" borderId="14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left" vertical="center" wrapText="1"/>
    </xf>
    <xf numFmtId="49" fontId="7" fillId="2" borderId="49" xfId="0" applyNumberFormat="1" applyFont="1" applyFill="1" applyBorder="1" applyAlignment="1">
      <alignment horizontal="left" vertical="center" wrapText="1"/>
    </xf>
    <xf numFmtId="3" fontId="7" fillId="2" borderId="50" xfId="0" applyNumberFormat="1" applyFont="1" applyFill="1" applyBorder="1" applyAlignment="1">
      <alignment horizontal="left" vertical="center" wrapText="1"/>
    </xf>
    <xf numFmtId="3" fontId="7" fillId="0" borderId="51" xfId="0" applyNumberFormat="1" applyFont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left" vertical="center" wrapText="1"/>
    </xf>
    <xf numFmtId="3" fontId="2" fillId="2" borderId="13" xfId="0" applyNumberFormat="1" applyFont="1" applyFill="1" applyBorder="1" applyAlignment="1">
      <alignment horizontal="left" vertical="center"/>
    </xf>
    <xf numFmtId="3" fontId="2" fillId="2" borderId="6" xfId="0" applyNumberFormat="1" applyFont="1" applyFill="1" applyBorder="1" applyAlignment="1">
      <alignment horizontal="left" vertical="center" wrapText="1"/>
    </xf>
    <xf numFmtId="3" fontId="7" fillId="2" borderId="13" xfId="0" applyNumberFormat="1" applyFont="1" applyFill="1" applyBorder="1" applyAlignment="1">
      <alignment horizontal="left" vertical="center"/>
    </xf>
    <xf numFmtId="3" fontId="7" fillId="0" borderId="13" xfId="0" applyNumberFormat="1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vertical="center"/>
    </xf>
    <xf numFmtId="3" fontId="7" fillId="0" borderId="8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7" fillId="0" borderId="4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3" fontId="7" fillId="2" borderId="49" xfId="0" applyNumberFormat="1" applyFont="1" applyFill="1" applyBorder="1" applyAlignment="1">
      <alignment horizontal="left" vertical="center"/>
    </xf>
    <xf numFmtId="3" fontId="2" fillId="2" borderId="50" xfId="0" applyNumberFormat="1" applyFont="1" applyFill="1" applyBorder="1" applyAlignment="1">
      <alignment horizontal="left" vertical="center" wrapText="1"/>
    </xf>
    <xf numFmtId="3" fontId="2" fillId="2" borderId="51" xfId="0" applyNumberFormat="1" applyFont="1" applyFill="1" applyBorder="1" applyAlignment="1">
      <alignment horizontal="left" vertical="center" wrapText="1"/>
    </xf>
    <xf numFmtId="3" fontId="2" fillId="2" borderId="49" xfId="0" applyNumberFormat="1" applyFont="1" applyFill="1" applyBorder="1" applyAlignment="1">
      <alignment horizontal="left" vertical="center"/>
    </xf>
    <xf numFmtId="3" fontId="7" fillId="2" borderId="51" xfId="0" applyNumberFormat="1" applyFont="1" applyFill="1" applyBorder="1" applyAlignment="1">
      <alignment horizontal="left" vertical="center" wrapText="1"/>
    </xf>
    <xf numFmtId="3" fontId="7" fillId="2" borderId="4" xfId="0" applyNumberFormat="1" applyFont="1" applyFill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left" vertical="center" wrapText="1"/>
    </xf>
    <xf numFmtId="3" fontId="2" fillId="2" borderId="45" xfId="0" applyNumberFormat="1" applyFont="1" applyFill="1" applyBorder="1" applyAlignment="1">
      <alignment horizontal="left" vertical="center" wrapText="1"/>
    </xf>
    <xf numFmtId="3" fontId="7" fillId="0" borderId="46" xfId="0" applyNumberFormat="1" applyFont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31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3" fontId="2" fillId="0" borderId="24" xfId="0" applyNumberFormat="1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" fontId="2" fillId="0" borderId="66" xfId="0" applyNumberFormat="1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" fontId="2" fillId="0" borderId="41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3" fontId="5" fillId="2" borderId="16" xfId="0" applyNumberFormat="1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3" fontId="5" fillId="2" borderId="63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left" vertical="center" wrapText="1"/>
    </xf>
    <xf numFmtId="3" fontId="7" fillId="0" borderId="8" xfId="0" applyNumberFormat="1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3" fontId="7" fillId="0" borderId="8" xfId="0" applyNumberFormat="1" applyFont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left" vertical="center"/>
    </xf>
    <xf numFmtId="3" fontId="5" fillId="0" borderId="63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3" fontId="7" fillId="0" borderId="10" xfId="0" applyNumberFormat="1" applyFont="1" applyBorder="1" applyAlignment="1">
      <alignment horizontal="left" vertical="center" wrapText="1"/>
    </xf>
    <xf numFmtId="3" fontId="7" fillId="0" borderId="11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left" vertical="center" wrapText="1"/>
    </xf>
    <xf numFmtId="3" fontId="2" fillId="0" borderId="12" xfId="0" applyNumberFormat="1" applyFont="1" applyBorder="1" applyAlignment="1">
      <alignment horizontal="left" vertical="center"/>
    </xf>
    <xf numFmtId="3" fontId="2" fillId="0" borderId="13" xfId="0" applyNumberFormat="1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left" vertical="center"/>
    </xf>
    <xf numFmtId="3" fontId="7" fillId="0" borderId="6" xfId="0" applyNumberFormat="1" applyFont="1" applyBorder="1" applyAlignment="1">
      <alignment horizontal="left" vertical="center"/>
    </xf>
    <xf numFmtId="3" fontId="2" fillId="0" borderId="18" xfId="0" applyNumberFormat="1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left" vertical="center" wrapText="1"/>
    </xf>
    <xf numFmtId="3" fontId="7" fillId="0" borderId="37" xfId="0" applyNumberFormat="1" applyFont="1" applyBorder="1" applyAlignment="1">
      <alignment horizontal="left" vertical="center" wrapText="1"/>
    </xf>
    <xf numFmtId="3" fontId="7" fillId="0" borderId="26" xfId="0" applyNumberFormat="1" applyFont="1" applyBorder="1" applyAlignment="1">
      <alignment horizontal="left" vertical="center" wrapText="1"/>
    </xf>
    <xf numFmtId="3" fontId="7" fillId="0" borderId="27" xfId="0" applyNumberFormat="1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left" vertical="center"/>
    </xf>
    <xf numFmtId="3" fontId="7" fillId="0" borderId="13" xfId="0" applyNumberFormat="1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" fontId="7" fillId="0" borderId="27" xfId="0" applyNumberFormat="1" applyFont="1" applyBorder="1" applyAlignment="1">
      <alignment horizontal="left" vertical="center"/>
    </xf>
    <xf numFmtId="3" fontId="7" fillId="0" borderId="6" xfId="0" applyNumberFormat="1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3" fontId="2" fillId="0" borderId="59" xfId="0" applyNumberFormat="1" applyFont="1" applyBorder="1" applyAlignment="1">
      <alignment horizontal="left" vertical="center" wrapText="1"/>
    </xf>
    <xf numFmtId="3" fontId="2" fillId="0" borderId="58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1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3" fontId="7" fillId="0" borderId="18" xfId="0" applyNumberFormat="1" applyFont="1" applyBorder="1" applyAlignment="1">
      <alignment horizontal="left" vertical="center"/>
    </xf>
    <xf numFmtId="0" fontId="7" fillId="0" borderId="26" xfId="0" applyFont="1" applyBorder="1" applyAlignment="1">
      <alignment vertical="center"/>
    </xf>
    <xf numFmtId="3" fontId="2" fillId="0" borderId="18" xfId="0" applyNumberFormat="1" applyFont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3" fontId="2" fillId="0" borderId="6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7" fillId="2" borderId="18" xfId="0" applyNumberFormat="1" applyFont="1" applyFill="1" applyBorder="1" applyAlignment="1">
      <alignment horizontal="left" vertical="center"/>
    </xf>
    <xf numFmtId="0" fontId="7" fillId="2" borderId="26" xfId="0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horizontal="left" vertical="center"/>
    </xf>
    <xf numFmtId="3" fontId="7" fillId="2" borderId="6" xfId="0" applyNumberFormat="1" applyFont="1" applyFill="1" applyBorder="1" applyAlignment="1">
      <alignment horizontal="left" vertical="center"/>
    </xf>
    <xf numFmtId="3" fontId="7" fillId="0" borderId="44" xfId="0" applyNumberFormat="1" applyFont="1" applyBorder="1" applyAlignment="1">
      <alignment horizontal="left" vertical="center"/>
    </xf>
    <xf numFmtId="0" fontId="7" fillId="0" borderId="55" xfId="0" applyFont="1" applyBorder="1" applyAlignment="1">
      <alignment vertical="center"/>
    </xf>
    <xf numFmtId="3" fontId="7" fillId="0" borderId="4" xfId="0" applyNumberFormat="1" applyFont="1" applyBorder="1" applyAlignment="1">
      <alignment horizontal="left" vertical="center" wrapText="1"/>
    </xf>
    <xf numFmtId="3" fontId="7" fillId="0" borderId="4" xfId="0" applyNumberFormat="1" applyFont="1" applyBorder="1" applyAlignment="1">
      <alignment horizontal="left" vertical="center"/>
    </xf>
    <xf numFmtId="3" fontId="7" fillId="0" borderId="46" xfId="0" applyNumberFormat="1" applyFont="1" applyBorder="1" applyAlignment="1">
      <alignment horizontal="left" vertical="center"/>
    </xf>
    <xf numFmtId="3" fontId="7" fillId="0" borderId="37" xfId="0" applyNumberFormat="1" applyFont="1" applyBorder="1" applyAlignment="1">
      <alignment horizontal="left" vertical="center"/>
    </xf>
    <xf numFmtId="3" fontId="9" fillId="0" borderId="18" xfId="0" applyNumberFormat="1" applyFont="1" applyBorder="1" applyAlignment="1">
      <alignment horizontal="left" vertical="center"/>
    </xf>
    <xf numFmtId="0" fontId="9" fillId="0" borderId="26" xfId="0" applyFont="1" applyBorder="1" applyAlignment="1">
      <alignment vertical="center"/>
    </xf>
    <xf numFmtId="3" fontId="2" fillId="0" borderId="38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" fontId="9" fillId="0" borderId="15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6" xfId="0" applyFont="1" applyBorder="1"/>
    <xf numFmtId="3" fontId="2" fillId="0" borderId="50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5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3" fontId="2" fillId="0" borderId="49" xfId="0" applyNumberFormat="1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left" vertical="center" wrapText="1"/>
    </xf>
    <xf numFmtId="0" fontId="0" fillId="0" borderId="58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6" xfId="0" applyBorder="1" applyAlignment="1">
      <alignment wrapText="1"/>
    </xf>
    <xf numFmtId="3" fontId="2" fillId="0" borderId="54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1" xfId="0" applyFont="1" applyBorder="1"/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58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49" fontId="7" fillId="2" borderId="41" xfId="0" applyNumberFormat="1" applyFont="1" applyFill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6" fillId="0" borderId="57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3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49" fontId="7" fillId="2" borderId="16" xfId="0" applyNumberFormat="1" applyFont="1" applyFill="1" applyBorder="1" applyAlignment="1">
      <alignment horizontal="right" vertical="center" wrapText="1"/>
    </xf>
    <xf numFmtId="0" fontId="12" fillId="2" borderId="31" xfId="0" applyFont="1" applyFill="1" applyBorder="1" applyAlignment="1">
      <alignment horizontal="right" vertical="center" wrapText="1"/>
    </xf>
    <xf numFmtId="0" fontId="12" fillId="2" borderId="33" xfId="0" applyFont="1" applyFill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1" fontId="7" fillId="2" borderId="41" xfId="0" applyNumberFormat="1" applyFont="1" applyFill="1" applyBorder="1" applyAlignment="1">
      <alignment horizontal="left" vertical="center" wrapText="1"/>
    </xf>
    <xf numFmtId="1" fontId="12" fillId="2" borderId="0" xfId="0" applyNumberFormat="1" applyFont="1" applyFill="1" applyAlignment="1">
      <alignment horizontal="left" vertical="center" wrapText="1"/>
    </xf>
    <xf numFmtId="1" fontId="12" fillId="2" borderId="17" xfId="0" applyNumberFormat="1" applyFont="1" applyFill="1" applyBorder="1" applyAlignment="1">
      <alignment horizontal="left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3" fontId="2" fillId="0" borderId="2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9" fontId="7" fillId="2" borderId="41" xfId="0" applyNumberFormat="1" applyFont="1" applyFill="1" applyBorder="1" applyAlignment="1">
      <alignment horizontal="center" vertical="center" wrapText="1"/>
    </xf>
    <xf numFmtId="9" fontId="12" fillId="2" borderId="17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</cellXfs>
  <cellStyles count="2">
    <cellStyle name="Обычный" xfId="0" builtinId="0"/>
    <cellStyle name="Обычный 2" xfId="1" xr:uid="{4481899D-C6F6-44FE-B48D-2ADAF56DB7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930275</xdr:colOff>
      <xdr:row>2</xdr:row>
      <xdr:rowOff>269875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080" y="0"/>
          <a:ext cx="2657475" cy="94043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/Sergey/2022/&#1055;&#1088;&#1072;&#1081;&#1089;%20&#1083;&#1080;&#1089;&#1090;&#1099;%20&#1074;&#1089;&#1077;/Price_list_FMF_Irbis_2022-02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айс с 2022-02-15     стр1"/>
      <sheetName val="стр 2 "/>
      <sheetName val="стр 3"/>
      <sheetName val=" стр 4"/>
      <sheetName val="стр 5"/>
      <sheetName val="стр 6"/>
      <sheetName val="стр 7"/>
      <sheetName val="стр 8"/>
      <sheetName val="стр 9"/>
      <sheetName val="стр 10"/>
      <sheetName val="стр 11"/>
      <sheetName val="Формул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view="pageBreakPreview" zoomScaleNormal="100" zoomScaleSheetLayoutView="100" workbookViewId="0">
      <selection activeCell="D26" sqref="D26:G26"/>
    </sheetView>
  </sheetViews>
  <sheetFormatPr baseColWidth="10" defaultColWidth="9.1640625" defaultRowHeight="26.25" customHeight="1"/>
  <cols>
    <col min="1" max="1" width="1.6640625" style="24" customWidth="1"/>
    <col min="2" max="7" width="22.6640625" style="24" customWidth="1"/>
    <col min="8" max="8" width="1.6640625" style="7" customWidth="1"/>
    <col min="9" max="12" width="25.6640625" style="7" customWidth="1"/>
    <col min="13" max="17" width="25.6640625" style="24" customWidth="1"/>
    <col min="18" max="16384" width="9.1640625" style="24"/>
  </cols>
  <sheetData>
    <row r="1" spans="1:16" s="1" customFormat="1" ht="26.25" customHeight="1">
      <c r="B1" s="2"/>
      <c r="C1" s="3"/>
      <c r="D1" s="4"/>
      <c r="E1" s="5"/>
      <c r="F1" s="5"/>
      <c r="G1" s="6" t="s">
        <v>0</v>
      </c>
      <c r="H1" s="7"/>
      <c r="I1" s="7"/>
      <c r="J1" s="7"/>
      <c r="K1" s="7"/>
      <c r="L1" s="7"/>
    </row>
    <row r="2" spans="1:16" s="1" customFormat="1" ht="26.25" customHeight="1">
      <c r="B2" s="2"/>
      <c r="C2" s="3"/>
      <c r="D2" s="4"/>
      <c r="E2" s="5"/>
      <c r="F2" s="5"/>
      <c r="G2" s="6" t="s">
        <v>364</v>
      </c>
      <c r="H2" s="7"/>
      <c r="I2" s="7"/>
      <c r="J2" s="7"/>
      <c r="K2" s="7"/>
      <c r="L2" s="7"/>
    </row>
    <row r="3" spans="1:16" s="8" customFormat="1" ht="26.25" customHeight="1" thickBot="1">
      <c r="B3" s="158"/>
      <c r="C3" s="159"/>
      <c r="D3" s="160"/>
      <c r="E3" s="198" t="s">
        <v>1</v>
      </c>
      <c r="F3" s="199"/>
      <c r="G3" s="199"/>
      <c r="H3" s="7"/>
      <c r="I3" s="7"/>
      <c r="J3" s="7"/>
      <c r="K3" s="7"/>
      <c r="L3" s="7"/>
    </row>
    <row r="4" spans="1:16" s="1" customFormat="1" ht="26.25" customHeight="1">
      <c r="A4" s="8"/>
      <c r="B4" s="12"/>
      <c r="C4" s="2"/>
      <c r="D4" s="10"/>
      <c r="E4" s="11"/>
      <c r="F4" s="11"/>
      <c r="G4" s="6"/>
      <c r="H4" s="7"/>
      <c r="I4" s="7"/>
      <c r="J4" s="7"/>
      <c r="K4" s="7"/>
      <c r="L4" s="7"/>
      <c r="M4" s="8"/>
      <c r="N4" s="8"/>
    </row>
    <row r="5" spans="1:16" s="1" customFormat="1" ht="26.25" customHeight="1">
      <c r="A5" s="8"/>
      <c r="B5" s="12" t="s">
        <v>2</v>
      </c>
      <c r="C5" s="9"/>
      <c r="D5" s="10"/>
      <c r="E5" s="11"/>
      <c r="F5" s="11"/>
      <c r="G5" s="77" t="str">
        <f>Формулы!D1</f>
        <v>с 15.09.2024</v>
      </c>
      <c r="H5" s="7"/>
      <c r="I5" s="7"/>
      <c r="J5" s="7"/>
      <c r="K5" s="7"/>
      <c r="L5" s="7"/>
      <c r="M5" s="8"/>
      <c r="N5" s="8"/>
    </row>
    <row r="6" spans="1:16" s="1" customFormat="1" ht="26.25" customHeight="1">
      <c r="A6" s="8"/>
      <c r="B6" s="12" t="s">
        <v>3</v>
      </c>
      <c r="C6" s="41"/>
      <c r="D6" s="10"/>
      <c r="E6" s="11"/>
      <c r="F6" s="11"/>
      <c r="G6" s="75"/>
      <c r="H6" s="7"/>
      <c r="I6" s="7"/>
      <c r="J6" s="7"/>
      <c r="K6" s="7"/>
      <c r="L6" s="7"/>
      <c r="M6" s="8"/>
      <c r="N6" s="8"/>
    </row>
    <row r="7" spans="1:16" s="1" customFormat="1" ht="26.25" customHeight="1">
      <c r="A7" s="8"/>
      <c r="B7" s="12"/>
      <c r="C7" s="2" t="s">
        <v>4</v>
      </c>
      <c r="D7" s="10"/>
      <c r="E7" s="11"/>
      <c r="F7" s="11"/>
      <c r="G7" s="11"/>
      <c r="H7" s="7"/>
      <c r="I7" s="7"/>
      <c r="J7" s="7"/>
      <c r="K7" s="7"/>
      <c r="L7" s="7"/>
      <c r="M7" s="8"/>
      <c r="N7" s="8"/>
    </row>
    <row r="8" spans="1:16" s="1" customFormat="1" ht="26.25" customHeight="1">
      <c r="A8" s="8"/>
      <c r="B8" s="33" t="s">
        <v>388</v>
      </c>
      <c r="C8" s="9"/>
      <c r="D8" s="10"/>
      <c r="E8" s="11"/>
      <c r="F8" s="11"/>
      <c r="G8" s="11"/>
      <c r="H8" s="7"/>
      <c r="I8" s="7"/>
      <c r="J8" s="7"/>
      <c r="K8" s="7"/>
      <c r="L8" s="7"/>
      <c r="M8" s="8"/>
      <c r="N8" s="8"/>
    </row>
    <row r="9" spans="1:16" s="1" customFormat="1" ht="26.25" customHeight="1">
      <c r="A9" s="8"/>
      <c r="B9" s="33" t="s">
        <v>389</v>
      </c>
      <c r="C9" s="9"/>
      <c r="D9" s="10"/>
      <c r="E9" s="11"/>
      <c r="F9" s="11"/>
      <c r="G9" s="11"/>
      <c r="H9" s="7"/>
      <c r="I9" s="7"/>
      <c r="J9" s="7"/>
      <c r="K9" s="7"/>
      <c r="L9" s="7"/>
      <c r="M9" s="8"/>
      <c r="N9" s="8"/>
    </row>
    <row r="10" spans="1:16" s="1" customFormat="1" ht="26.25" customHeight="1">
      <c r="A10" s="8"/>
      <c r="B10" s="33" t="s">
        <v>390</v>
      </c>
      <c r="C10" s="9"/>
      <c r="D10" s="10"/>
      <c r="E10" s="11"/>
      <c r="F10" s="11"/>
      <c r="G10" s="11"/>
      <c r="H10" s="7"/>
      <c r="I10" s="7"/>
      <c r="J10" s="7"/>
      <c r="K10" s="7"/>
      <c r="L10" s="7"/>
      <c r="M10" s="8"/>
      <c r="N10" s="8"/>
    </row>
    <row r="11" spans="1:16" s="1" customFormat="1" ht="26.25" customHeight="1">
      <c r="A11" s="8"/>
      <c r="B11" s="12"/>
      <c r="C11" s="9"/>
      <c r="D11" s="10"/>
      <c r="E11" s="11"/>
      <c r="F11" s="11"/>
      <c r="G11" s="11"/>
      <c r="H11" s="7"/>
      <c r="I11" s="7"/>
      <c r="J11" s="7"/>
      <c r="K11" s="7"/>
      <c r="L11" s="7"/>
      <c r="M11" s="8"/>
      <c r="N11" s="8"/>
    </row>
    <row r="12" spans="1:16" s="8" customFormat="1" ht="26.25" customHeight="1" thickBot="1">
      <c r="B12" s="135" t="s">
        <v>5</v>
      </c>
      <c r="C12" s="7"/>
      <c r="D12" s="13"/>
      <c r="E12" s="11"/>
      <c r="F12" s="11"/>
      <c r="G12" s="11"/>
      <c r="H12" s="7"/>
      <c r="I12" s="7"/>
      <c r="J12" s="7"/>
      <c r="K12" s="7"/>
      <c r="L12" s="7"/>
    </row>
    <row r="13" spans="1:16" s="8" customFormat="1" ht="26.25" customHeight="1">
      <c r="B13" s="193" t="s">
        <v>6</v>
      </c>
      <c r="C13" s="195" t="s">
        <v>7</v>
      </c>
      <c r="D13" s="200" t="s">
        <v>8</v>
      </c>
      <c r="E13" s="201"/>
      <c r="F13" s="201"/>
      <c r="G13" s="202"/>
      <c r="H13" s="9"/>
      <c r="I13" s="9"/>
      <c r="J13" s="9"/>
      <c r="K13" s="9"/>
      <c r="L13" s="9"/>
      <c r="M13" s="9"/>
      <c r="N13" s="9"/>
      <c r="O13" s="9"/>
      <c r="P13" s="9"/>
    </row>
    <row r="14" spans="1:16" s="8" customFormat="1" ht="26.25" customHeight="1" thickBot="1">
      <c r="B14" s="194"/>
      <c r="C14" s="194"/>
      <c r="D14" s="105" t="s">
        <v>9</v>
      </c>
      <c r="E14" s="106" t="s">
        <v>10</v>
      </c>
      <c r="F14" s="106" t="s">
        <v>11</v>
      </c>
      <c r="G14" s="107" t="s">
        <v>12</v>
      </c>
      <c r="H14" s="9"/>
      <c r="I14" s="9"/>
      <c r="J14" s="9"/>
      <c r="K14" s="9"/>
      <c r="L14" s="9"/>
      <c r="M14" s="9"/>
      <c r="N14" s="9"/>
      <c r="O14" s="9"/>
      <c r="P14" s="9"/>
    </row>
    <row r="15" spans="1:16" s="8" customFormat="1" ht="26.25" customHeight="1">
      <c r="B15" s="52" t="s">
        <v>14</v>
      </c>
      <c r="C15" s="203" t="s">
        <v>13</v>
      </c>
      <c r="D15" s="155">
        <f>Стандарт_1</f>
        <v>3950</v>
      </c>
      <c r="E15" s="95">
        <f>Стандарт_1+Сложная_фрезеровка</f>
        <v>4950</v>
      </c>
      <c r="F15" s="95">
        <f>Стандарт_1+Сложная_фрезеровка_с_утопленной_вставкой</f>
        <v>5450</v>
      </c>
      <c r="G15" s="96">
        <f>Стандарт_1+Авиньон</f>
        <v>6950</v>
      </c>
      <c r="H15" s="9"/>
      <c r="I15" s="9"/>
      <c r="J15" s="9"/>
      <c r="K15" s="9"/>
      <c r="L15" s="9"/>
      <c r="M15" s="9"/>
      <c r="N15" s="9"/>
      <c r="O15" s="9"/>
      <c r="P15" s="9"/>
    </row>
    <row r="16" spans="1:16" s="8" customFormat="1" ht="26.25" customHeight="1">
      <c r="B16" s="71" t="s">
        <v>15</v>
      </c>
      <c r="C16" s="203"/>
      <c r="D16" s="156">
        <f>Стандарт_2</f>
        <v>4350</v>
      </c>
      <c r="E16" s="15">
        <f>Стандарт_2+Сложная_фрезеровка</f>
        <v>5350</v>
      </c>
      <c r="F16" s="15">
        <f>Стандарт_2+Сложная_фрезеровка_с_утопленной_вставкой</f>
        <v>5850</v>
      </c>
      <c r="G16" s="16">
        <f>Стандарт_2+Авиньон</f>
        <v>7350</v>
      </c>
      <c r="H16" s="9"/>
      <c r="I16" s="9"/>
      <c r="J16" s="9"/>
      <c r="K16" s="9"/>
      <c r="L16" s="9"/>
      <c r="M16" s="9"/>
      <c r="N16" s="9"/>
      <c r="O16" s="9"/>
      <c r="P16" s="9"/>
    </row>
    <row r="17" spans="2:16" s="8" customFormat="1" ht="26.25" customHeight="1">
      <c r="B17" s="71" t="s">
        <v>16</v>
      </c>
      <c r="C17" s="204"/>
      <c r="D17" s="156">
        <f>Стандарт_3</f>
        <v>4750</v>
      </c>
      <c r="E17" s="15">
        <f>Стандарт_3+Сложная_фрезеровка</f>
        <v>5750</v>
      </c>
      <c r="F17" s="15">
        <f>Стандарт_3+Сложная_фрезеровка_с_утопленной_вставкой</f>
        <v>6250</v>
      </c>
      <c r="G17" s="16">
        <f>Стандарт_3+Авиньон</f>
        <v>7750</v>
      </c>
      <c r="H17" s="9"/>
      <c r="I17" s="9"/>
      <c r="J17" s="9"/>
      <c r="K17" s="9"/>
      <c r="L17" s="9"/>
      <c r="M17" s="9"/>
      <c r="N17" s="9"/>
      <c r="O17" s="9"/>
      <c r="P17" s="9"/>
    </row>
    <row r="18" spans="2:16" s="8" customFormat="1" ht="26.25" customHeight="1">
      <c r="B18" s="73" t="s">
        <v>17</v>
      </c>
      <c r="C18" s="205"/>
      <c r="D18" s="153">
        <f>Стандарт_4</f>
        <v>5150</v>
      </c>
      <c r="E18" s="131">
        <f>Стандарт_4+Сложная_фрезеровка</f>
        <v>6150</v>
      </c>
      <c r="F18" s="131">
        <f>Стандарт_4+Сложная_фрезеровка_с_утопленной_вставкой</f>
        <v>6650</v>
      </c>
      <c r="G18" s="17">
        <f>Стандарт_4+Авиньон</f>
        <v>8150</v>
      </c>
      <c r="H18" s="9"/>
      <c r="I18" s="9"/>
      <c r="J18" s="9"/>
      <c r="K18" s="9"/>
      <c r="L18" s="9"/>
      <c r="M18" s="9"/>
      <c r="N18" s="9"/>
      <c r="O18" s="9"/>
      <c r="P18" s="9"/>
    </row>
    <row r="19" spans="2:16" s="8" customFormat="1" ht="26.25" customHeight="1" thickBot="1">
      <c r="B19" s="39" t="s">
        <v>365</v>
      </c>
      <c r="C19" s="206"/>
      <c r="D19" s="157">
        <f>Стандарт_5</f>
        <v>5550</v>
      </c>
      <c r="E19" s="19">
        <f>Стандарт_5+Сложная_фрезеровка</f>
        <v>6550</v>
      </c>
      <c r="F19" s="19">
        <f>Стандарт_5+Сложная_фрезеровка_с_утопленной_вставкой</f>
        <v>7050</v>
      </c>
      <c r="G19" s="20">
        <f>Стандарт_5+Авиньон</f>
        <v>8550</v>
      </c>
      <c r="H19" s="9"/>
      <c r="I19" s="9"/>
      <c r="J19" s="9"/>
      <c r="K19" s="9"/>
      <c r="L19" s="9"/>
      <c r="M19" s="9"/>
      <c r="N19" s="9"/>
      <c r="O19" s="9"/>
      <c r="P19" s="9"/>
    </row>
    <row r="20" spans="2:16" s="8" customFormat="1" ht="26.25" customHeight="1">
      <c r="B20" s="52" t="s">
        <v>18</v>
      </c>
      <c r="C20" s="196" t="s">
        <v>19</v>
      </c>
      <c r="D20" s="94">
        <f>Престиж_1</f>
        <v>5950</v>
      </c>
      <c r="E20" s="95">
        <f>Престиж_1+Сложная_фрезеровка</f>
        <v>6950</v>
      </c>
      <c r="F20" s="95">
        <f>Престиж_1+Сложная_фрезеровка_с_утопленной_вставкой</f>
        <v>7450</v>
      </c>
      <c r="G20" s="96">
        <f>Престиж_1+Авиньон</f>
        <v>8950</v>
      </c>
      <c r="H20" s="9"/>
      <c r="I20" s="9"/>
      <c r="J20" s="9"/>
      <c r="K20" s="9"/>
      <c r="L20" s="9"/>
      <c r="M20" s="9"/>
      <c r="N20" s="9"/>
      <c r="O20" s="9"/>
      <c r="P20" s="9"/>
    </row>
    <row r="21" spans="2:16" s="8" customFormat="1" ht="26.25" customHeight="1">
      <c r="B21" s="71" t="s">
        <v>20</v>
      </c>
      <c r="C21" s="196"/>
      <c r="D21" s="14">
        <f>Престиж_2</f>
        <v>6350</v>
      </c>
      <c r="E21" s="15">
        <f>Престиж_2+Сложная_фрезеровка</f>
        <v>7350</v>
      </c>
      <c r="F21" s="15">
        <f>Престиж_2+Сложная_фрезеровка_с_утопленной_вставкой</f>
        <v>7850</v>
      </c>
      <c r="G21" s="16">
        <f>Престиж_2+Авиньон</f>
        <v>9350</v>
      </c>
      <c r="H21" s="9"/>
      <c r="I21" s="9"/>
      <c r="J21" s="9"/>
      <c r="K21" s="9"/>
      <c r="L21" s="9"/>
      <c r="M21" s="9"/>
      <c r="N21" s="9"/>
      <c r="O21" s="9"/>
      <c r="P21" s="9"/>
    </row>
    <row r="22" spans="2:16" s="8" customFormat="1" ht="26.25" customHeight="1">
      <c r="B22" s="71" t="s">
        <v>21</v>
      </c>
      <c r="C22" s="196"/>
      <c r="D22" s="14">
        <f>Престиж_3</f>
        <v>6750</v>
      </c>
      <c r="E22" s="15">
        <f>Престиж_3+Сложная_фрезеровка</f>
        <v>7750</v>
      </c>
      <c r="F22" s="15">
        <f>Престиж_3+Сложная_фрезеровка_с_утопленной_вставкой</f>
        <v>8250</v>
      </c>
      <c r="G22" s="16">
        <f>Престиж_3+Авиньон</f>
        <v>9750</v>
      </c>
      <c r="H22" s="9"/>
      <c r="I22" s="9"/>
      <c r="J22" s="9"/>
      <c r="K22" s="9"/>
      <c r="L22" s="9"/>
      <c r="M22" s="9"/>
      <c r="N22" s="9"/>
      <c r="O22" s="9"/>
      <c r="P22" s="9"/>
    </row>
    <row r="23" spans="2:16" s="8" customFormat="1" ht="26.25" customHeight="1" thickBot="1">
      <c r="B23" s="39" t="s">
        <v>22</v>
      </c>
      <c r="C23" s="197"/>
      <c r="D23" s="18">
        <f>Престиж_4</f>
        <v>6950</v>
      </c>
      <c r="E23" s="19" t="s">
        <v>23</v>
      </c>
      <c r="F23" s="19" t="s">
        <v>23</v>
      </c>
      <c r="G23" s="20" t="s">
        <v>23</v>
      </c>
      <c r="H23" s="9"/>
      <c r="I23" s="9"/>
      <c r="J23" s="9"/>
      <c r="K23" s="9"/>
      <c r="L23" s="9"/>
      <c r="M23" s="9"/>
      <c r="N23" s="9"/>
      <c r="O23" s="9"/>
      <c r="P23" s="9"/>
    </row>
    <row r="24" spans="2:16" s="8" customFormat="1" ht="26.25" customHeight="1">
      <c r="B24" s="2"/>
      <c r="C24" s="7"/>
      <c r="D24" s="10"/>
      <c r="E24" s="10"/>
      <c r="F24" s="10"/>
      <c r="G24" s="10"/>
      <c r="H24" s="9"/>
      <c r="I24" s="9"/>
      <c r="J24" s="9"/>
      <c r="K24" s="9"/>
      <c r="L24" s="9"/>
      <c r="M24" s="9"/>
      <c r="N24" s="9"/>
      <c r="O24" s="9"/>
      <c r="P24" s="9"/>
    </row>
    <row r="25" spans="2:16" s="13" customFormat="1" ht="26.25" customHeight="1" thickBot="1">
      <c r="B25" s="21" t="s">
        <v>24</v>
      </c>
      <c r="E25" s="22"/>
      <c r="F25" s="23"/>
    </row>
    <row r="26" spans="2:16" s="8" customFormat="1" ht="26.25" customHeight="1">
      <c r="B26" s="193" t="s">
        <v>25</v>
      </c>
      <c r="C26" s="195" t="s">
        <v>7</v>
      </c>
      <c r="D26" s="200" t="s">
        <v>8</v>
      </c>
      <c r="E26" s="201"/>
      <c r="F26" s="201"/>
      <c r="G26" s="202"/>
      <c r="H26" s="9"/>
      <c r="I26" s="9"/>
      <c r="J26" s="9"/>
      <c r="K26" s="9"/>
      <c r="L26" s="9"/>
      <c r="M26" s="9"/>
      <c r="N26" s="9"/>
      <c r="O26" s="9"/>
      <c r="P26" s="9"/>
    </row>
    <row r="27" spans="2:16" s="8" customFormat="1" ht="26.25" customHeight="1" thickBot="1">
      <c r="B27" s="194"/>
      <c r="C27" s="194"/>
      <c r="D27" s="105" t="s">
        <v>9</v>
      </c>
      <c r="E27" s="106" t="s">
        <v>10</v>
      </c>
      <c r="F27" s="106" t="s">
        <v>11</v>
      </c>
      <c r="G27" s="107" t="s">
        <v>12</v>
      </c>
      <c r="H27" s="9"/>
      <c r="I27" s="9"/>
      <c r="J27" s="9"/>
      <c r="K27" s="9"/>
      <c r="L27" s="9"/>
      <c r="M27" s="9"/>
      <c r="N27" s="9"/>
      <c r="O27" s="9"/>
      <c r="P27" s="9"/>
    </row>
    <row r="28" spans="2:16" s="8" customFormat="1" ht="26.25" customHeight="1">
      <c r="B28" s="140" t="s">
        <v>14</v>
      </c>
      <c r="C28" s="203" t="s">
        <v>13</v>
      </c>
      <c r="D28" s="94">
        <f>Стандарт_1+Плита_19_мм</f>
        <v>4450</v>
      </c>
      <c r="E28" s="95">
        <f>Стандарт_1+Сложная_фрезеровка+Плита_19_мм</f>
        <v>5450</v>
      </c>
      <c r="F28" s="95">
        <f>Стандарт_1+Сложная_фрезеровка_с_утопленной_вставкой+Плита_19_мм</f>
        <v>5950</v>
      </c>
      <c r="G28" s="96">
        <f>Стандарт_1+Авиньон+Плита_19_мм</f>
        <v>7450</v>
      </c>
      <c r="H28" s="9"/>
      <c r="I28" s="9"/>
      <c r="J28" s="9"/>
      <c r="K28" s="9"/>
      <c r="L28" s="9"/>
      <c r="M28" s="9"/>
      <c r="N28" s="9"/>
      <c r="O28" s="9"/>
      <c r="P28" s="9"/>
    </row>
    <row r="29" spans="2:16" s="8" customFormat="1" ht="26.25" customHeight="1">
      <c r="B29" s="138" t="s">
        <v>15</v>
      </c>
      <c r="C29" s="203"/>
      <c r="D29" s="14">
        <f>Стандарт_2+Плита_19_мм</f>
        <v>4850</v>
      </c>
      <c r="E29" s="15">
        <f>Стандарт_2+Сложная_фрезеровка+Плита_19_мм</f>
        <v>5850</v>
      </c>
      <c r="F29" s="15">
        <f>Стандарт_2+Сложная_фрезеровка_с_утопленной_вставкой+Плита_19_мм</f>
        <v>6350</v>
      </c>
      <c r="G29" s="16">
        <f>Стандарт_2+Авиньон+Плита_19_мм</f>
        <v>7850</v>
      </c>
      <c r="H29" s="9"/>
      <c r="I29" s="9"/>
      <c r="J29" s="9"/>
      <c r="K29" s="9"/>
      <c r="L29" s="9"/>
      <c r="M29" s="9"/>
      <c r="N29" s="9"/>
      <c r="O29" s="9"/>
      <c r="P29" s="9"/>
    </row>
    <row r="30" spans="2:16" s="8" customFormat="1" ht="26.25" customHeight="1">
      <c r="B30" s="138" t="s">
        <v>16</v>
      </c>
      <c r="C30" s="204"/>
      <c r="D30" s="14">
        <f>Стандарт_3+Плита_19_мм</f>
        <v>5250</v>
      </c>
      <c r="E30" s="15">
        <f>Стандарт_3+Сложная_фрезеровка+Плита_19_мм</f>
        <v>6250</v>
      </c>
      <c r="F30" s="15">
        <f>Стандарт_3+Сложная_фрезеровка_с_утопленной_вставкой+Плита_19_мм</f>
        <v>6750</v>
      </c>
      <c r="G30" s="16">
        <f>Стандарт_3+Авиньон+Плита_19_мм</f>
        <v>8250</v>
      </c>
      <c r="H30" s="9"/>
      <c r="I30" s="9"/>
      <c r="J30" s="9"/>
      <c r="K30" s="9"/>
      <c r="L30" s="9"/>
      <c r="M30" s="9"/>
      <c r="N30" s="9"/>
      <c r="O30" s="9"/>
      <c r="P30" s="9"/>
    </row>
    <row r="31" spans="2:16" s="8" customFormat="1" ht="26.25" customHeight="1">
      <c r="B31" s="141" t="s">
        <v>17</v>
      </c>
      <c r="C31" s="205"/>
      <c r="D31" s="132">
        <v>5650</v>
      </c>
      <c r="E31" s="131">
        <v>6650</v>
      </c>
      <c r="F31" s="131">
        <v>7150</v>
      </c>
      <c r="G31" s="17">
        <v>8650</v>
      </c>
      <c r="H31" s="9"/>
      <c r="I31" s="9"/>
      <c r="J31" s="9"/>
      <c r="K31" s="9"/>
      <c r="L31" s="9"/>
      <c r="M31" s="9"/>
      <c r="N31" s="9"/>
      <c r="O31" s="9"/>
      <c r="P31" s="9"/>
    </row>
    <row r="32" spans="2:16" s="8" customFormat="1" ht="26.25" customHeight="1" thickBot="1">
      <c r="B32" s="98" t="s">
        <v>365</v>
      </c>
      <c r="C32" s="206"/>
      <c r="D32" s="18">
        <f>Стандарт_5+Плита_19_мм</f>
        <v>6050</v>
      </c>
      <c r="E32" s="19">
        <f>Стандарт_5+Сложная_фрезеровка+Плита_19_мм</f>
        <v>7050</v>
      </c>
      <c r="F32" s="19">
        <f>Стандарт_5+Сложная_фрезеровка_с_утопленной_вставкой+Плита_19_мм</f>
        <v>7550</v>
      </c>
      <c r="G32" s="20">
        <f>Стандарт_5+Авиньон+Плита_19_мм</f>
        <v>9050</v>
      </c>
      <c r="H32" s="9"/>
      <c r="I32" s="9"/>
      <c r="J32" s="9"/>
      <c r="K32" s="9"/>
      <c r="L32" s="9"/>
      <c r="M32" s="9"/>
      <c r="N32" s="9"/>
      <c r="O32" s="9"/>
      <c r="P32" s="9"/>
    </row>
    <row r="33" spans="1:16" s="8" customFormat="1" ht="26.25" customHeight="1">
      <c r="B33" s="52" t="s">
        <v>18</v>
      </c>
      <c r="C33" s="196" t="s">
        <v>19</v>
      </c>
      <c r="D33" s="94">
        <f>Престиж_1+Плита_19_мм</f>
        <v>6450</v>
      </c>
      <c r="E33" s="95">
        <f>Престиж_1+Сложная_фрезеровка+Плита_19_мм</f>
        <v>7450</v>
      </c>
      <c r="F33" s="95">
        <f>Престиж_1+Сложная_фрезеровка_с_утопленной_вставкой+Плита_19_мм</f>
        <v>7950</v>
      </c>
      <c r="G33" s="96">
        <f>Престиж_1+Авиньон+Плита_19_мм</f>
        <v>9450</v>
      </c>
      <c r="H33" s="9"/>
      <c r="I33" s="9"/>
      <c r="J33" s="9"/>
      <c r="K33" s="9"/>
      <c r="L33" s="9"/>
      <c r="M33" s="9"/>
      <c r="N33" s="9"/>
      <c r="O33" s="9"/>
      <c r="P33" s="9"/>
    </row>
    <row r="34" spans="1:16" s="8" customFormat="1" ht="26.25" customHeight="1">
      <c r="B34" s="71" t="s">
        <v>20</v>
      </c>
      <c r="C34" s="196"/>
      <c r="D34" s="14">
        <f>Престиж_2+Плита_19_мм</f>
        <v>6850</v>
      </c>
      <c r="E34" s="15">
        <f>Престиж_2+Сложная_фрезеровка+Плита_19_мм</f>
        <v>7850</v>
      </c>
      <c r="F34" s="15">
        <f>Престиж_2+Сложная_фрезеровка_с_утопленной_вставкой+Плита_19_мм</f>
        <v>8350</v>
      </c>
      <c r="G34" s="16">
        <f>Престиж_2+Авиньон+Плита_19_мм</f>
        <v>9850</v>
      </c>
      <c r="H34" s="9"/>
      <c r="I34" s="9"/>
      <c r="J34" s="9"/>
      <c r="K34" s="9"/>
      <c r="L34" s="9"/>
      <c r="M34" s="9"/>
      <c r="N34" s="9"/>
      <c r="O34" s="9"/>
      <c r="P34" s="9"/>
    </row>
    <row r="35" spans="1:16" s="8" customFormat="1" ht="26.25" customHeight="1">
      <c r="B35" s="71" t="s">
        <v>21</v>
      </c>
      <c r="C35" s="196"/>
      <c r="D35" s="14">
        <f>Престиж_3+Плита_19_мм</f>
        <v>7250</v>
      </c>
      <c r="E35" s="15">
        <f>Престиж_3+Сложная_фрезеровка+Плита_19_мм</f>
        <v>8250</v>
      </c>
      <c r="F35" s="15">
        <f>Престиж_3+Сложная_фрезеровка_с_утопленной_вставкой+Плита_19_мм</f>
        <v>8750</v>
      </c>
      <c r="G35" s="16">
        <f>Престиж_3+Авиньон+Плита_19_мм</f>
        <v>10250</v>
      </c>
      <c r="H35" s="9"/>
      <c r="I35" s="9"/>
      <c r="J35" s="9"/>
      <c r="K35" s="9"/>
      <c r="L35" s="9"/>
      <c r="M35" s="9"/>
      <c r="N35" s="9"/>
      <c r="O35" s="9"/>
      <c r="P35" s="9"/>
    </row>
    <row r="36" spans="1:16" s="8" customFormat="1" ht="26.25" customHeight="1" thickBot="1">
      <c r="B36" s="39" t="s">
        <v>22</v>
      </c>
      <c r="C36" s="197"/>
      <c r="D36" s="18">
        <f>Престиж_4+Плита_19_мм</f>
        <v>7450</v>
      </c>
      <c r="E36" s="19" t="s">
        <v>23</v>
      </c>
      <c r="F36" s="19" t="s">
        <v>23</v>
      </c>
      <c r="G36" s="20" t="s">
        <v>23</v>
      </c>
      <c r="H36" s="9"/>
      <c r="I36" s="9"/>
      <c r="J36" s="9"/>
      <c r="K36" s="9"/>
      <c r="L36" s="9"/>
      <c r="M36" s="9"/>
      <c r="N36" s="9"/>
      <c r="O36" s="9"/>
      <c r="P36" s="9"/>
    </row>
    <row r="37" spans="1:16" s="13" customFormat="1" ht="26.25" customHeight="1">
      <c r="C37" s="10"/>
      <c r="D37" s="10"/>
    </row>
    <row r="38" spans="1:16" s="1" customFormat="1" ht="26.25" customHeight="1">
      <c r="A38" s="8"/>
      <c r="B38" s="135" t="s">
        <v>26</v>
      </c>
      <c r="C38" s="7"/>
      <c r="D38" s="13"/>
      <c r="E38" s="11"/>
      <c r="F38" s="11"/>
      <c r="G38" s="27"/>
      <c r="H38" s="7"/>
      <c r="I38" s="7"/>
      <c r="J38" s="7"/>
      <c r="K38" s="7"/>
      <c r="L38" s="7"/>
      <c r="M38" s="8"/>
      <c r="N38" s="8"/>
    </row>
    <row r="39" spans="1:16" s="8" customFormat="1" ht="26.25" customHeight="1">
      <c r="B39" s="9"/>
      <c r="C39" s="42"/>
      <c r="D39" s="10"/>
      <c r="E39" s="6" t="s">
        <v>27</v>
      </c>
      <c r="F39" s="87" t="str">
        <f>TEXT(Основа_гнутого_фасада,"+ # ##0")</f>
        <v>+ 7 000</v>
      </c>
      <c r="G39" s="85" t="s">
        <v>28</v>
      </c>
      <c r="H39" s="9"/>
      <c r="I39" s="9"/>
      <c r="J39" s="9"/>
      <c r="K39" s="9"/>
      <c r="L39" s="9"/>
      <c r="M39" s="9"/>
      <c r="N39" s="9"/>
      <c r="O39" s="9"/>
      <c r="P39" s="9"/>
    </row>
    <row r="40" spans="1:16" s="8" customFormat="1" ht="26.25" customHeight="1">
      <c r="B40" s="7"/>
      <c r="C40" s="7"/>
      <c r="D40" s="80"/>
      <c r="E40" s="10"/>
      <c r="F40" s="10"/>
      <c r="G40" s="10"/>
      <c r="H40" s="9"/>
      <c r="I40" s="9"/>
      <c r="J40" s="9"/>
      <c r="K40" s="9"/>
      <c r="L40" s="9"/>
      <c r="M40" s="9"/>
      <c r="N40" s="9"/>
      <c r="O40" s="9"/>
      <c r="P40" s="9"/>
    </row>
    <row r="41" spans="1:16" s="8" customFormat="1" ht="26.25" customHeight="1">
      <c r="B41" s="2" t="s">
        <v>29</v>
      </c>
      <c r="C41" s="80"/>
      <c r="D41" s="80"/>
      <c r="E41" s="80"/>
      <c r="F41" s="80"/>
      <c r="G41" s="80"/>
      <c r="H41" s="9"/>
      <c r="I41" s="9"/>
      <c r="J41" s="9"/>
      <c r="K41" s="9"/>
      <c r="L41" s="9"/>
      <c r="M41" s="9"/>
      <c r="N41" s="9"/>
      <c r="O41" s="9"/>
      <c r="P41" s="9"/>
    </row>
    <row r="42" spans="1:16" s="8" customFormat="1" ht="26.25" customHeight="1">
      <c r="B42" s="23" t="s">
        <v>30</v>
      </c>
      <c r="C42" s="7"/>
      <c r="D42" s="10"/>
      <c r="E42" s="10"/>
      <c r="F42" s="10"/>
      <c r="G42" s="10"/>
      <c r="H42" s="9"/>
      <c r="I42" s="9"/>
      <c r="J42" s="9"/>
      <c r="K42" s="9"/>
      <c r="L42" s="9"/>
      <c r="M42" s="9"/>
      <c r="N42" s="9"/>
      <c r="O42" s="9"/>
      <c r="P42" s="9"/>
    </row>
    <row r="43" spans="1:16" s="8" customFormat="1" ht="26.25" customHeight="1">
      <c r="B43" s="7"/>
      <c r="C43" s="7"/>
      <c r="D43" s="80"/>
      <c r="E43" s="10"/>
      <c r="F43" s="10"/>
      <c r="G43" s="10"/>
      <c r="H43" s="9"/>
      <c r="I43" s="9"/>
      <c r="J43" s="9"/>
      <c r="K43" s="9"/>
      <c r="L43" s="9"/>
      <c r="M43" s="9"/>
      <c r="N43" s="9"/>
      <c r="O43" s="9"/>
      <c r="P43" s="9"/>
    </row>
    <row r="44" spans="1:16" s="8" customFormat="1" ht="26.25" customHeight="1">
      <c r="B44" s="21" t="s">
        <v>31</v>
      </c>
      <c r="C44" s="7"/>
      <c r="D44" s="80"/>
      <c r="E44" s="10"/>
      <c r="F44" s="10"/>
      <c r="G44" s="10"/>
      <c r="H44" s="9"/>
      <c r="I44" s="9"/>
      <c r="J44" s="9"/>
      <c r="K44" s="9"/>
      <c r="L44" s="9"/>
      <c r="M44" s="9"/>
      <c r="N44" s="9"/>
      <c r="O44" s="9"/>
      <c r="P44" s="9"/>
    </row>
    <row r="45" spans="1:16" s="8" customFormat="1" ht="26.25" customHeight="1">
      <c r="B45" s="21"/>
      <c r="C45" s="7"/>
      <c r="D45" s="80"/>
      <c r="E45" s="10"/>
      <c r="F45" s="10"/>
      <c r="G45" s="10"/>
      <c r="H45" s="9"/>
      <c r="I45" s="9"/>
      <c r="J45" s="9"/>
      <c r="K45" s="9"/>
      <c r="L45" s="9"/>
      <c r="M45" s="9"/>
      <c r="N45" s="9"/>
      <c r="O45" s="9"/>
      <c r="P45" s="9"/>
    </row>
    <row r="46" spans="1:16" ht="26.25" customHeight="1">
      <c r="H46" s="25" t="s">
        <v>32</v>
      </c>
    </row>
  </sheetData>
  <mergeCells count="11">
    <mergeCell ref="C33:C36"/>
    <mergeCell ref="E3:G3"/>
    <mergeCell ref="D13:G13"/>
    <mergeCell ref="D26:G26"/>
    <mergeCell ref="C15:C19"/>
    <mergeCell ref="C28:C32"/>
    <mergeCell ref="B26:B27"/>
    <mergeCell ref="B13:B14"/>
    <mergeCell ref="C13:C14"/>
    <mergeCell ref="C20:C23"/>
    <mergeCell ref="C26:C27"/>
  </mergeCells>
  <phoneticPr fontId="1" type="noConversion"/>
  <pageMargins left="0.70866141732283472" right="0.31496062992125984" top="0.55118110236220474" bottom="0.35433070866141736" header="0.31496062992125984" footer="0.31496062992125984"/>
  <pageSetup paperSize="9" scale="62" orientation="portrait" horizontalDpi="300" verticalDpi="300" copies="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5F9E-BC9F-473E-8AFE-0D6DA3A5F1D4}">
  <sheetPr>
    <pageSetUpPr fitToPage="1"/>
  </sheetPr>
  <dimension ref="B1:O47"/>
  <sheetViews>
    <sheetView view="pageBreakPreview" zoomScaleNormal="150" zoomScaleSheetLayoutView="100" workbookViewId="0">
      <selection activeCell="F12" sqref="F12"/>
    </sheetView>
  </sheetViews>
  <sheetFormatPr baseColWidth="10" defaultColWidth="9.1640625" defaultRowHeight="26.25" customHeight="1"/>
  <cols>
    <col min="1" max="1" width="1.6640625" style="26" customWidth="1"/>
    <col min="2" max="7" width="22.6640625" style="26" customWidth="1"/>
    <col min="8" max="8" width="1.6640625" style="30" customWidth="1"/>
    <col min="9" max="9" width="25.6640625" style="33" customWidth="1"/>
    <col min="10" max="11" width="25.6640625" style="30" customWidth="1"/>
    <col min="12" max="16" width="25.6640625" style="26" customWidth="1"/>
    <col min="17" max="16384" width="9.1640625" style="26"/>
  </cols>
  <sheetData>
    <row r="1" spans="2:15" s="30" customFormat="1" ht="26.25" customHeight="1">
      <c r="B1" s="33" t="s">
        <v>351</v>
      </c>
      <c r="C1" s="36"/>
      <c r="D1" s="37"/>
      <c r="E1" s="32"/>
      <c r="F1" s="32"/>
      <c r="G1" s="32"/>
      <c r="I1" s="33"/>
      <c r="L1" s="26"/>
      <c r="M1" s="26"/>
      <c r="N1" s="26"/>
      <c r="O1" s="26"/>
    </row>
    <row r="2" spans="2:15" s="30" customFormat="1" ht="26.25" customHeight="1">
      <c r="B2" s="33"/>
      <c r="C2" s="33"/>
      <c r="D2" s="32"/>
      <c r="E2" s="32"/>
      <c r="F2" s="26"/>
      <c r="G2" s="32"/>
      <c r="I2" s="33"/>
      <c r="L2" s="26"/>
      <c r="M2" s="26"/>
      <c r="N2" s="26"/>
      <c r="O2" s="26"/>
    </row>
    <row r="3" spans="2:15" s="30" customFormat="1" ht="26.25" customHeight="1">
      <c r="B3" s="100" t="s">
        <v>407</v>
      </c>
      <c r="C3"/>
      <c r="D3" s="82"/>
      <c r="E3" s="26"/>
      <c r="F3" s="137"/>
      <c r="G3" s="32"/>
      <c r="I3" s="33"/>
      <c r="L3" s="26"/>
      <c r="M3" s="26"/>
      <c r="N3" s="26"/>
      <c r="O3" s="26"/>
    </row>
    <row r="4" spans="2:15" s="30" customFormat="1" ht="26.25" customHeight="1">
      <c r="B4" s="31"/>
      <c r="C4" s="31"/>
      <c r="D4" s="82"/>
      <c r="E4" s="26"/>
      <c r="F4" s="137"/>
      <c r="G4" s="32"/>
      <c r="I4" s="33"/>
      <c r="L4" s="26"/>
      <c r="M4" s="26"/>
      <c r="N4" s="26"/>
      <c r="O4" s="26"/>
    </row>
    <row r="5" spans="2:15" s="30" customFormat="1" ht="26.25" customHeight="1">
      <c r="B5" s="31"/>
      <c r="C5" s="26" t="s">
        <v>386</v>
      </c>
      <c r="D5" s="82"/>
      <c r="E5" s="26"/>
      <c r="F5" s="137"/>
      <c r="G5" s="32"/>
      <c r="I5" s="33"/>
      <c r="L5" s="26"/>
      <c r="M5" s="26"/>
      <c r="N5" s="26"/>
      <c r="O5" s="26"/>
    </row>
    <row r="6" spans="2:15" s="30" customFormat="1" ht="26.25" customHeight="1">
      <c r="B6" s="31"/>
      <c r="C6" s="31"/>
      <c r="D6" s="82"/>
      <c r="E6" s="26"/>
      <c r="F6" s="137"/>
      <c r="G6" s="32"/>
      <c r="I6" s="33"/>
      <c r="L6" s="26"/>
      <c r="M6" s="26"/>
      <c r="N6" s="26"/>
      <c r="O6" s="26"/>
    </row>
    <row r="7" spans="2:15" ht="26.25" customHeight="1">
      <c r="K7" s="26"/>
    </row>
    <row r="8" spans="2:15" ht="26.25" customHeight="1">
      <c r="B8" s="100" t="s">
        <v>366</v>
      </c>
      <c r="K8" s="26"/>
    </row>
    <row r="9" spans="2:15" ht="26.25" customHeight="1">
      <c r="B9" s="100"/>
      <c r="D9" s="192" t="s">
        <v>409</v>
      </c>
      <c r="K9" s="26"/>
    </row>
    <row r="10" spans="2:15" s="30" customFormat="1" ht="26.25" customHeight="1">
      <c r="B10" s="26"/>
      <c r="C10" s="33"/>
      <c r="D10" s="26"/>
      <c r="E10" s="32"/>
      <c r="F10" s="26"/>
      <c r="G10" s="32"/>
      <c r="I10" s="33"/>
      <c r="K10" s="26"/>
      <c r="L10" s="26"/>
      <c r="M10" s="26"/>
      <c r="N10" s="26"/>
      <c r="O10" s="26"/>
    </row>
    <row r="11" spans="2:15" s="33" customFormat="1" ht="26.25" customHeight="1">
      <c r="C11" s="26" t="s">
        <v>367</v>
      </c>
      <c r="D11" s="26"/>
      <c r="K11" s="26"/>
    </row>
    <row r="12" spans="2:15" ht="26.25" customHeight="1">
      <c r="C12" s="26" t="s">
        <v>369</v>
      </c>
      <c r="F12" s="91" t="s">
        <v>410</v>
      </c>
      <c r="K12" s="26"/>
    </row>
    <row r="13" spans="2:15" ht="26.25" customHeight="1">
      <c r="C13" s="26" t="s">
        <v>370</v>
      </c>
    </row>
    <row r="14" spans="2:15" ht="26.25" customHeight="1">
      <c r="C14" s="26" t="s">
        <v>382</v>
      </c>
    </row>
    <row r="15" spans="2:15" ht="26.25" customHeight="1">
      <c r="C15" s="26" t="s">
        <v>387</v>
      </c>
    </row>
    <row r="16" spans="2:15" s="30" customFormat="1" ht="26.25" customHeight="1">
      <c r="C16" s="26" t="s">
        <v>383</v>
      </c>
      <c r="E16" s="32"/>
      <c r="F16" s="26"/>
      <c r="G16" s="32"/>
      <c r="I16" s="33"/>
      <c r="L16" s="26"/>
      <c r="M16" s="26"/>
      <c r="N16" s="26"/>
      <c r="O16" s="26"/>
    </row>
    <row r="17" spans="2:15" s="30" customFormat="1" ht="26.25" customHeight="1">
      <c r="C17" s="26" t="s">
        <v>371</v>
      </c>
      <c r="D17" s="82"/>
      <c r="E17" s="26"/>
      <c r="F17" s="137"/>
      <c r="G17" s="32"/>
      <c r="I17" s="33"/>
      <c r="L17" s="26"/>
      <c r="M17" s="26"/>
      <c r="N17" s="26"/>
      <c r="O17" s="26"/>
    </row>
    <row r="18" spans="2:15" ht="26.25" customHeight="1">
      <c r="C18" s="26" t="s">
        <v>372</v>
      </c>
    </row>
    <row r="19" spans="2:15" ht="26.25" customHeight="1">
      <c r="C19" s="26" t="s">
        <v>400</v>
      </c>
    </row>
    <row r="20" spans="2:15" ht="26.25" customHeight="1">
      <c r="C20" s="26" t="s">
        <v>401</v>
      </c>
    </row>
    <row r="21" spans="2:15" ht="26.25" customHeight="1">
      <c r="C21" s="26" t="s">
        <v>402</v>
      </c>
    </row>
    <row r="22" spans="2:15" ht="26.25" customHeight="1">
      <c r="C22" s="26" t="s">
        <v>368</v>
      </c>
    </row>
    <row r="23" spans="2:15" ht="26.25" customHeight="1">
      <c r="C23" s="26" t="s">
        <v>384</v>
      </c>
    </row>
    <row r="24" spans="2:15" ht="26.25" customHeight="1">
      <c r="C24" s="26" t="s">
        <v>403</v>
      </c>
    </row>
    <row r="25" spans="2:15" ht="26.25" customHeight="1">
      <c r="C25" s="26" t="s">
        <v>381</v>
      </c>
    </row>
    <row r="26" spans="2:15" ht="26.25" customHeight="1">
      <c r="C26" s="26" t="s">
        <v>385</v>
      </c>
    </row>
    <row r="27" spans="2:15" ht="26.25" customHeight="1">
      <c r="K27" s="26"/>
    </row>
    <row r="28" spans="2:15" s="30" customFormat="1" ht="26.25" customHeight="1">
      <c r="B28" s="26"/>
      <c r="C28" s="26"/>
      <c r="D28" s="82"/>
      <c r="E28" s="26"/>
      <c r="F28" s="137"/>
      <c r="G28" s="32"/>
      <c r="I28" s="33"/>
      <c r="L28" s="26"/>
      <c r="M28" s="26"/>
      <c r="N28" s="26"/>
      <c r="O28" s="26"/>
    </row>
    <row r="29" spans="2:15" s="30" customFormat="1" ht="26.25" customHeight="1">
      <c r="B29" s="100" t="s">
        <v>404</v>
      </c>
      <c r="C29" s="33"/>
      <c r="D29" s="32"/>
      <c r="E29" s="32"/>
      <c r="F29" s="26"/>
      <c r="G29" s="32"/>
      <c r="I29" s="33"/>
      <c r="L29" s="26"/>
      <c r="M29" s="26"/>
      <c r="N29" s="26"/>
      <c r="O29" s="26"/>
    </row>
    <row r="30" spans="2:15" s="30" customFormat="1" ht="26.25" customHeight="1">
      <c r="B30" s="100"/>
      <c r="C30" s="33"/>
      <c r="D30" s="32"/>
      <c r="E30" s="32"/>
      <c r="F30" s="26"/>
      <c r="G30" s="32"/>
      <c r="I30" s="33"/>
      <c r="L30" s="26"/>
      <c r="M30" s="26"/>
      <c r="N30" s="26"/>
      <c r="O30" s="26"/>
    </row>
    <row r="31" spans="2:15" ht="26.25" customHeight="1">
      <c r="B31" s="100" t="s">
        <v>391</v>
      </c>
      <c r="K31" s="26"/>
    </row>
    <row r="32" spans="2:15" ht="26.25" customHeight="1">
      <c r="F32" s="91"/>
      <c r="K32" s="26"/>
    </row>
    <row r="33" spans="2:15" s="30" customFormat="1" ht="26.25" customHeight="1">
      <c r="C33" s="26" t="s">
        <v>55</v>
      </c>
      <c r="D33" s="82"/>
      <c r="E33" s="26"/>
      <c r="F33" s="137"/>
      <c r="G33" s="32"/>
      <c r="I33" s="33"/>
      <c r="L33" s="26"/>
      <c r="M33" s="26"/>
      <c r="N33" s="26"/>
      <c r="O33" s="26"/>
    </row>
    <row r="34" spans="2:15" s="30" customFormat="1" ht="26.25" customHeight="1">
      <c r="C34" s="26" t="s">
        <v>392</v>
      </c>
      <c r="D34" s="82"/>
      <c r="E34" s="26"/>
      <c r="F34" s="137"/>
      <c r="G34" s="32"/>
      <c r="I34" s="33"/>
      <c r="L34" s="26"/>
      <c r="M34" s="26"/>
      <c r="N34" s="26"/>
      <c r="O34" s="26"/>
    </row>
    <row r="35" spans="2:15" s="30" customFormat="1" ht="26.25" customHeight="1">
      <c r="C35" s="26" t="s">
        <v>92</v>
      </c>
      <c r="D35" s="32"/>
      <c r="E35" s="26"/>
      <c r="F35" s="26"/>
      <c r="G35" s="32"/>
      <c r="I35" s="33"/>
      <c r="L35" s="26"/>
      <c r="M35" s="26"/>
      <c r="N35" s="26"/>
      <c r="O35" s="26"/>
    </row>
    <row r="36" spans="2:15" ht="26.25" customHeight="1">
      <c r="C36" s="26" t="s">
        <v>95</v>
      </c>
    </row>
    <row r="37" spans="2:15" ht="26.25" customHeight="1">
      <c r="C37" s="26" t="s">
        <v>104</v>
      </c>
      <c r="F37" s="91"/>
      <c r="K37" s="26"/>
    </row>
    <row r="39" spans="2:15" ht="26.25" customHeight="1">
      <c r="K39" s="26"/>
    </row>
    <row r="40" spans="2:15" s="30" customFormat="1" ht="26.25" customHeight="1">
      <c r="B40" s="100" t="s">
        <v>405</v>
      </c>
      <c r="C40" s="26"/>
      <c r="D40" s="32"/>
      <c r="E40" s="32"/>
      <c r="F40" s="26"/>
      <c r="G40" s="32"/>
      <c r="I40" s="33"/>
      <c r="L40" s="26"/>
      <c r="M40" s="26"/>
      <c r="N40" s="26"/>
      <c r="O40" s="26"/>
    </row>
    <row r="41" spans="2:15" ht="26.25" customHeight="1">
      <c r="C41" s="8"/>
      <c r="K41" s="26"/>
    </row>
    <row r="42" spans="2:15" s="30" customFormat="1" ht="26.25" customHeight="1">
      <c r="C42" s="26" t="s">
        <v>380</v>
      </c>
      <c r="D42" s="82"/>
      <c r="E42" s="26"/>
      <c r="F42" s="26"/>
      <c r="G42" s="32"/>
      <c r="I42" s="33"/>
      <c r="L42" s="26"/>
      <c r="M42" s="26"/>
      <c r="N42" s="26"/>
      <c r="O42" s="26"/>
    </row>
    <row r="43" spans="2:15" s="30" customFormat="1" ht="26.25" customHeight="1">
      <c r="C43" s="33" t="s">
        <v>399</v>
      </c>
      <c r="D43" s="82"/>
      <c r="E43" s="26"/>
      <c r="F43" s="137"/>
      <c r="G43" s="32"/>
      <c r="I43" s="33"/>
      <c r="L43" s="26"/>
      <c r="M43" s="26"/>
      <c r="N43" s="26"/>
      <c r="O43" s="26"/>
    </row>
    <row r="44" spans="2:15" s="30" customFormat="1" ht="26.25" customHeight="1">
      <c r="D44" s="82"/>
      <c r="E44" s="26"/>
      <c r="F44" s="137"/>
      <c r="G44" s="32"/>
      <c r="I44" s="33"/>
      <c r="L44" s="26"/>
      <c r="M44" s="26"/>
      <c r="N44" s="26"/>
      <c r="O44" s="26"/>
    </row>
    <row r="45" spans="2:15" s="30" customFormat="1" ht="26.25" customHeight="1">
      <c r="B45" s="100" t="s">
        <v>393</v>
      </c>
      <c r="D45" s="82"/>
      <c r="E45" s="26"/>
      <c r="F45" s="137"/>
      <c r="G45" s="32"/>
      <c r="I45" s="33"/>
      <c r="L45" s="26"/>
      <c r="M45" s="26"/>
      <c r="N45" s="26"/>
      <c r="O45" s="26"/>
    </row>
    <row r="46" spans="2:15" s="30" customFormat="1" ht="26.25" customHeight="1">
      <c r="D46" s="82"/>
      <c r="E46" s="26"/>
      <c r="F46" s="137"/>
      <c r="G46" s="32"/>
      <c r="I46" s="33"/>
      <c r="L46" s="26"/>
      <c r="M46" s="26"/>
      <c r="N46" s="26"/>
      <c r="O46" s="26"/>
    </row>
    <row r="47" spans="2:15" ht="26.25" customHeight="1">
      <c r="B47" s="33"/>
      <c r="H47" s="90" t="s">
        <v>352</v>
      </c>
    </row>
  </sheetData>
  <sortState xmlns:xlrd2="http://schemas.microsoft.com/office/spreadsheetml/2017/richdata2" ref="C11:C26">
    <sortCondition ref="C11"/>
  </sortState>
  <pageMargins left="0.70866141732283472" right="0.31496062992125984" top="0.55118110236220474" bottom="0.35433070866141736" header="0.31496062992125984" footer="0.31496062992125984"/>
  <pageSetup paperSize="9" scale="62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7D1D0-D362-2540-B817-CA836ADDD046}">
  <sheetPr>
    <pageSetUpPr fitToPage="1"/>
  </sheetPr>
  <dimension ref="B1:G32"/>
  <sheetViews>
    <sheetView tabSelected="1" view="pageBreakPreview" zoomScaleNormal="125" zoomScaleSheetLayoutView="100" workbookViewId="0">
      <selection activeCell="D8" sqref="D8"/>
    </sheetView>
  </sheetViews>
  <sheetFormatPr baseColWidth="10" defaultColWidth="10.6640625" defaultRowHeight="30" customHeight="1"/>
  <cols>
    <col min="1" max="1" width="20.5" style="26" customWidth="1"/>
    <col min="2" max="2" width="55.33203125" style="26" customWidth="1"/>
    <col min="3" max="3" width="25.6640625" style="29" customWidth="1"/>
    <col min="4" max="4" width="25.6640625" style="30" customWidth="1"/>
    <col min="5" max="6" width="25.6640625" style="26" customWidth="1"/>
    <col min="7" max="7" width="25.6640625" style="29" customWidth="1"/>
    <col min="8" max="25" width="25.6640625" style="26" customWidth="1"/>
    <col min="26" max="16384" width="10.6640625" style="26"/>
  </cols>
  <sheetData>
    <row r="1" spans="2:6" ht="30" customHeight="1">
      <c r="D1" s="77" t="s">
        <v>408</v>
      </c>
    </row>
    <row r="3" spans="2:6" ht="30" customHeight="1">
      <c r="B3" s="393" t="s">
        <v>353</v>
      </c>
      <c r="C3" s="393"/>
      <c r="E3" s="30"/>
      <c r="F3" s="30"/>
    </row>
    <row r="4" spans="2:6" ht="30" customHeight="1">
      <c r="B4" s="125" t="s">
        <v>14</v>
      </c>
      <c r="C4" s="128">
        <v>3950</v>
      </c>
      <c r="D4" s="108"/>
      <c r="E4" s="29"/>
      <c r="F4" s="30"/>
    </row>
    <row r="5" spans="2:6" ht="30" customHeight="1">
      <c r="B5" s="125" t="s">
        <v>15</v>
      </c>
      <c r="C5" s="128">
        <v>4350</v>
      </c>
      <c r="D5" s="108"/>
      <c r="E5" s="29"/>
      <c r="F5" s="29"/>
    </row>
    <row r="6" spans="2:6" ht="30" customHeight="1">
      <c r="B6" s="125" t="s">
        <v>16</v>
      </c>
      <c r="C6" s="128">
        <v>4750</v>
      </c>
      <c r="D6" s="108"/>
      <c r="E6" s="29"/>
      <c r="F6" s="29"/>
    </row>
    <row r="7" spans="2:6" ht="30" customHeight="1">
      <c r="B7" s="125" t="s">
        <v>17</v>
      </c>
      <c r="C7" s="128">
        <v>5150</v>
      </c>
      <c r="D7" s="108"/>
      <c r="E7" s="29"/>
      <c r="F7" s="29"/>
    </row>
    <row r="8" spans="2:6" ht="30" customHeight="1">
      <c r="B8" s="125" t="s">
        <v>365</v>
      </c>
      <c r="C8" s="128">
        <v>5550</v>
      </c>
      <c r="D8" s="108"/>
      <c r="E8" s="29"/>
      <c r="F8" s="29"/>
    </row>
    <row r="9" spans="2:6" ht="30" customHeight="1">
      <c r="D9" s="109"/>
    </row>
    <row r="10" spans="2:6" ht="30" customHeight="1">
      <c r="C10" s="8"/>
      <c r="D10" s="109"/>
    </row>
    <row r="11" spans="2:6" ht="30" customHeight="1">
      <c r="B11" s="125" t="s">
        <v>18</v>
      </c>
      <c r="C11" s="128">
        <v>5950</v>
      </c>
      <c r="D11" s="108"/>
      <c r="E11" s="29"/>
      <c r="F11" s="29"/>
    </row>
    <row r="12" spans="2:6" ht="30" customHeight="1">
      <c r="B12" s="125" t="s">
        <v>20</v>
      </c>
      <c r="C12" s="78">
        <v>6350</v>
      </c>
      <c r="D12" s="108"/>
      <c r="E12" s="29"/>
      <c r="F12" s="29"/>
    </row>
    <row r="13" spans="2:6" ht="30" customHeight="1">
      <c r="B13" s="125" t="s">
        <v>21</v>
      </c>
      <c r="C13" s="128">
        <v>6750</v>
      </c>
      <c r="D13" s="108"/>
      <c r="E13" s="29"/>
      <c r="F13" s="29"/>
    </row>
    <row r="14" spans="2:6" ht="30" customHeight="1">
      <c r="B14" s="125" t="s">
        <v>22</v>
      </c>
      <c r="C14" s="128">
        <v>6950</v>
      </c>
      <c r="D14" s="108"/>
      <c r="E14" s="29"/>
    </row>
    <row r="15" spans="2:6" ht="30" customHeight="1">
      <c r="B15" s="33"/>
      <c r="C15" s="110"/>
      <c r="D15" s="111"/>
    </row>
    <row r="17" spans="2:4" ht="30" customHeight="1">
      <c r="B17" s="394" t="s">
        <v>354</v>
      </c>
      <c r="C17" s="395"/>
    </row>
    <row r="18" spans="2:4" ht="30" customHeight="1">
      <c r="B18" s="124" t="s">
        <v>355</v>
      </c>
      <c r="C18" s="78">
        <v>0</v>
      </c>
    </row>
    <row r="19" spans="2:4" ht="30" customHeight="1">
      <c r="B19" s="79" t="s">
        <v>356</v>
      </c>
      <c r="C19" s="78">
        <v>1000</v>
      </c>
    </row>
    <row r="20" spans="2:4" ht="30" customHeight="1">
      <c r="B20" s="79" t="s">
        <v>357</v>
      </c>
      <c r="C20" s="78">
        <v>1500</v>
      </c>
    </row>
    <row r="21" spans="2:4" ht="30" customHeight="1">
      <c r="B21" s="79" t="s">
        <v>358</v>
      </c>
      <c r="C21" s="78">
        <v>3000</v>
      </c>
      <c r="D21" s="89"/>
    </row>
    <row r="22" spans="2:4" ht="30" customHeight="1">
      <c r="B22" s="79" t="s">
        <v>359</v>
      </c>
      <c r="C22" s="78">
        <v>500</v>
      </c>
    </row>
    <row r="23" spans="2:4" ht="30" customHeight="1">
      <c r="B23" s="79" t="s">
        <v>360</v>
      </c>
      <c r="C23" s="78">
        <v>3000</v>
      </c>
    </row>
    <row r="24" spans="2:4" ht="30" customHeight="1">
      <c r="B24" s="79" t="s">
        <v>361</v>
      </c>
      <c r="C24" s="78">
        <v>7000</v>
      </c>
    </row>
    <row r="30" spans="2:4" ht="30" customHeight="1">
      <c r="B30" s="101"/>
    </row>
    <row r="32" spans="2:4" ht="30" customHeight="1">
      <c r="B32" s="101"/>
    </row>
  </sheetData>
  <mergeCells count="2">
    <mergeCell ref="B3:C3"/>
    <mergeCell ref="B17:C17"/>
  </mergeCells>
  <phoneticPr fontId="1" type="noConversion"/>
  <pageMargins left="0.7" right="0.7" top="0.75" bottom="0.75" header="0.3" footer="0.3"/>
  <pageSetup paperSize="9" scale="6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F42DD-7E90-432F-906B-B509185EE172}">
  <sheetPr>
    <pageSetUpPr fitToPage="1"/>
  </sheetPr>
  <dimension ref="A1:P46"/>
  <sheetViews>
    <sheetView view="pageBreakPreview" topLeftCell="B1" zoomScale="125" zoomScaleNormal="100" zoomScaleSheetLayoutView="125" workbookViewId="0">
      <selection activeCell="C5" sqref="C5:C7"/>
    </sheetView>
  </sheetViews>
  <sheetFormatPr baseColWidth="10" defaultColWidth="9.1640625" defaultRowHeight="26.25" customHeight="1"/>
  <cols>
    <col min="1" max="1" width="1.6640625" style="24" customWidth="1"/>
    <col min="2" max="7" width="22.6640625" style="24" customWidth="1"/>
    <col min="8" max="8" width="1.6640625" style="7" customWidth="1"/>
    <col min="9" max="12" width="25.6640625" style="7" customWidth="1"/>
    <col min="13" max="17" width="25.6640625" style="24" customWidth="1"/>
    <col min="18" max="16384" width="9.1640625" style="24"/>
  </cols>
  <sheetData>
    <row r="1" spans="1:16" s="1" customFormat="1" ht="26.25" customHeight="1">
      <c r="A1" s="8"/>
      <c r="B1" s="135" t="s">
        <v>33</v>
      </c>
      <c r="C1" s="7"/>
      <c r="D1" s="13"/>
      <c r="E1" s="11"/>
      <c r="F1" s="11"/>
      <c r="G1" s="11"/>
      <c r="H1" s="7"/>
      <c r="I1" s="7"/>
      <c r="J1" s="7"/>
      <c r="K1" s="7"/>
      <c r="L1" s="7"/>
      <c r="M1" s="8"/>
      <c r="N1" s="8"/>
    </row>
    <row r="2" spans="1:16" s="8" customFormat="1" ht="26.25" customHeight="1" thickBot="1">
      <c r="B2" s="7"/>
      <c r="C2" s="7"/>
      <c r="D2" s="80"/>
      <c r="E2" s="10"/>
      <c r="F2" s="10"/>
      <c r="G2" s="10"/>
      <c r="H2" s="9"/>
      <c r="I2" s="9"/>
      <c r="J2" s="9"/>
      <c r="K2" s="9"/>
      <c r="L2" s="9"/>
      <c r="M2" s="9"/>
      <c r="N2" s="9"/>
      <c r="O2" s="9"/>
      <c r="P2" s="9"/>
    </row>
    <row r="3" spans="1:16" s="8" customFormat="1" ht="26.25" customHeight="1">
      <c r="B3" s="193" t="s">
        <v>34</v>
      </c>
      <c r="C3" s="195" t="s">
        <v>7</v>
      </c>
      <c r="D3" s="200" t="s">
        <v>8</v>
      </c>
      <c r="E3" s="201"/>
      <c r="F3" s="201"/>
      <c r="G3" s="202"/>
      <c r="H3" s="9"/>
      <c r="I3" s="9"/>
      <c r="J3" s="9"/>
      <c r="K3" s="9"/>
      <c r="L3" s="9"/>
      <c r="M3" s="9"/>
      <c r="N3" s="9"/>
      <c r="O3" s="9"/>
      <c r="P3" s="9"/>
    </row>
    <row r="4" spans="1:16" s="8" customFormat="1" ht="26.25" customHeight="1" thickBot="1">
      <c r="B4" s="194"/>
      <c r="C4" s="194"/>
      <c r="D4" s="105" t="s">
        <v>9</v>
      </c>
      <c r="E4" s="106" t="s">
        <v>10</v>
      </c>
      <c r="F4" s="106" t="s">
        <v>11</v>
      </c>
      <c r="G4" s="107" t="s">
        <v>12</v>
      </c>
      <c r="H4" s="9"/>
      <c r="I4" s="9"/>
      <c r="J4" s="9"/>
      <c r="K4" s="9"/>
      <c r="L4" s="9"/>
      <c r="M4" s="9"/>
      <c r="N4" s="9"/>
      <c r="O4" s="9"/>
      <c r="P4" s="9"/>
    </row>
    <row r="5" spans="1:16" s="8" customFormat="1" ht="26.25" customHeight="1">
      <c r="B5" s="52" t="s">
        <v>14</v>
      </c>
      <c r="C5" s="196" t="s">
        <v>13</v>
      </c>
      <c r="D5" s="94">
        <f>Стандарт_1+Патина</f>
        <v>6950</v>
      </c>
      <c r="E5" s="95">
        <f>Стандарт_1+Сложная_фрезеровка+Патина</f>
        <v>7950</v>
      </c>
      <c r="F5" s="95">
        <f>Стандарт_1+Сложная_фрезеровка_с_утопленной_вставкой+Патина</f>
        <v>8450</v>
      </c>
      <c r="G5" s="96">
        <f>Стандарт_1+Авиньон+Патина</f>
        <v>9950</v>
      </c>
      <c r="H5" s="9"/>
      <c r="I5" s="9"/>
      <c r="J5" s="9"/>
      <c r="K5" s="9"/>
      <c r="L5" s="9"/>
      <c r="M5" s="9"/>
      <c r="N5" s="9"/>
      <c r="O5" s="9"/>
      <c r="P5" s="9"/>
    </row>
    <row r="6" spans="1:16" s="8" customFormat="1" ht="26.25" customHeight="1">
      <c r="B6" s="71" t="s">
        <v>15</v>
      </c>
      <c r="C6" s="207"/>
      <c r="D6" s="14">
        <f>Стандарт_2+Патина</f>
        <v>7350</v>
      </c>
      <c r="E6" s="15">
        <f>Стандарт_2+Сложная_фрезеровка+Патина</f>
        <v>8350</v>
      </c>
      <c r="F6" s="15">
        <f>Стандарт_2+Сложная_фрезеровка_с_утопленной_вставкой+Патина</f>
        <v>8850</v>
      </c>
      <c r="G6" s="16">
        <f>Стандарт_2+Авиньон+Патина</f>
        <v>10350</v>
      </c>
      <c r="H6" s="9"/>
      <c r="I6" s="9"/>
      <c r="J6" s="9"/>
      <c r="K6" s="9"/>
      <c r="L6" s="9"/>
      <c r="M6" s="9"/>
      <c r="N6" s="9"/>
      <c r="O6" s="9"/>
      <c r="P6" s="9"/>
    </row>
    <row r="7" spans="1:16" s="8" customFormat="1" ht="26.25" customHeight="1" thickBot="1">
      <c r="B7" s="73" t="s">
        <v>16</v>
      </c>
      <c r="C7" s="194"/>
      <c r="D7" s="132">
        <f>Стандарт_3+Патина</f>
        <v>7750</v>
      </c>
      <c r="E7" s="131">
        <f>Стандарт_3+Сложная_фрезеровка+Патина</f>
        <v>8750</v>
      </c>
      <c r="F7" s="131">
        <f>Стандарт_3+Сложная_фрезеровка_с_утопленной_вставкой+Патина</f>
        <v>9250</v>
      </c>
      <c r="G7" s="17">
        <f>Стандарт_3+Авиньон+Патина</f>
        <v>10750</v>
      </c>
      <c r="H7" s="9"/>
      <c r="I7" s="9"/>
      <c r="J7" s="9"/>
      <c r="K7" s="9"/>
      <c r="L7" s="9"/>
      <c r="M7" s="9"/>
      <c r="N7" s="9"/>
      <c r="O7" s="9"/>
      <c r="P7" s="9"/>
    </row>
    <row r="8" spans="1:16" s="8" customFormat="1" ht="26.25" customHeight="1">
      <c r="B8" s="97" t="s">
        <v>35</v>
      </c>
      <c r="C8" s="208" t="s">
        <v>19</v>
      </c>
      <c r="D8" s="126">
        <f>Престиж_1+Патина</f>
        <v>8950</v>
      </c>
      <c r="E8" s="127">
        <f>Престиж_1+Сложная_фрезеровка+Патина</f>
        <v>9950</v>
      </c>
      <c r="F8" s="127">
        <f>Престиж_1+Сложная_фрезеровка_с_утопленной_вставкой+Патина</f>
        <v>10450</v>
      </c>
      <c r="G8" s="86">
        <f>Престиж_1+Авиньон+Патина</f>
        <v>11950</v>
      </c>
      <c r="H8" s="9"/>
      <c r="I8" s="9"/>
      <c r="J8" s="9"/>
      <c r="K8" s="9"/>
      <c r="L8" s="9"/>
      <c r="M8" s="9"/>
      <c r="N8" s="9"/>
      <c r="O8" s="9"/>
      <c r="P8" s="9"/>
    </row>
    <row r="9" spans="1:16" s="8" customFormat="1" ht="26.25" customHeight="1" thickBot="1">
      <c r="B9" s="98" t="s">
        <v>20</v>
      </c>
      <c r="C9" s="209"/>
      <c r="D9" s="18">
        <f>Престиж_2+Патина</f>
        <v>9350</v>
      </c>
      <c r="E9" s="19">
        <f>Престиж_2+Сложная_фрезеровка+Патина</f>
        <v>10350</v>
      </c>
      <c r="F9" s="19">
        <f>Престиж_2+Сложная_фрезеровка_с_утопленной_вставкой+Патина</f>
        <v>10850</v>
      </c>
      <c r="G9" s="20">
        <f>Престиж_2+Авиньон+Патина</f>
        <v>12350</v>
      </c>
      <c r="H9" s="9"/>
      <c r="I9" s="9"/>
      <c r="J9" s="9"/>
      <c r="K9" s="9"/>
      <c r="L9" s="9"/>
      <c r="M9" s="9"/>
      <c r="N9" s="9"/>
      <c r="O9" s="9"/>
      <c r="P9" s="9"/>
    </row>
    <row r="10" spans="1:16" s="8" customFormat="1" ht="26.25" customHeight="1">
      <c r="B10" s="7"/>
      <c r="C10" s="7"/>
      <c r="D10" s="10"/>
      <c r="E10" s="10"/>
      <c r="F10" s="10"/>
      <c r="G10" s="10"/>
      <c r="H10" s="9"/>
      <c r="I10" s="9"/>
      <c r="J10" s="9"/>
      <c r="K10" s="9"/>
      <c r="L10" s="9"/>
      <c r="M10" s="9"/>
      <c r="N10" s="9"/>
      <c r="O10" s="9"/>
      <c r="P10" s="9"/>
    </row>
    <row r="11" spans="1:16" s="8" customFormat="1" ht="26.25" customHeight="1" thickBot="1">
      <c r="B11" s="135" t="s">
        <v>36</v>
      </c>
      <c r="C11" s="7"/>
      <c r="D11" s="13"/>
      <c r="E11" s="11"/>
      <c r="F11" s="11"/>
      <c r="G11" s="11"/>
      <c r="H11" s="9"/>
      <c r="I11" s="9"/>
      <c r="J11" s="9"/>
      <c r="K11" s="9"/>
      <c r="L11" s="9"/>
      <c r="M11" s="9"/>
      <c r="N11" s="9"/>
      <c r="O11" s="9"/>
      <c r="P11" s="9"/>
    </row>
    <row r="12" spans="1:16" s="8" customFormat="1" ht="26.25" customHeight="1">
      <c r="B12" s="193" t="s">
        <v>34</v>
      </c>
      <c r="C12" s="195" t="s">
        <v>7</v>
      </c>
      <c r="D12" s="200" t="s">
        <v>8</v>
      </c>
      <c r="E12" s="201"/>
      <c r="F12" s="201"/>
      <c r="G12" s="202"/>
      <c r="H12" s="9"/>
      <c r="I12" s="9"/>
      <c r="J12" s="9"/>
      <c r="K12" s="9"/>
      <c r="L12" s="9"/>
      <c r="M12" s="9"/>
      <c r="N12" s="9"/>
      <c r="O12" s="9"/>
      <c r="P12" s="9"/>
    </row>
    <row r="13" spans="1:16" s="8" customFormat="1" ht="26.25" customHeight="1" thickBot="1">
      <c r="B13" s="194"/>
      <c r="C13" s="194"/>
      <c r="D13" s="104" t="s">
        <v>9</v>
      </c>
      <c r="E13" s="103" t="s">
        <v>10</v>
      </c>
      <c r="F13" s="103" t="s">
        <v>11</v>
      </c>
      <c r="G13" s="102" t="s">
        <v>12</v>
      </c>
      <c r="H13" s="9"/>
      <c r="I13" s="9"/>
      <c r="J13" s="9"/>
      <c r="K13" s="9"/>
      <c r="L13" s="9"/>
      <c r="M13" s="9"/>
      <c r="N13" s="9"/>
      <c r="O13" s="9"/>
      <c r="P13" s="9"/>
    </row>
    <row r="14" spans="1:16" s="8" customFormat="1" ht="26.25" customHeight="1">
      <c r="B14" s="52" t="s">
        <v>14</v>
      </c>
      <c r="C14" s="195" t="s">
        <v>13</v>
      </c>
      <c r="D14" s="126">
        <f>Стандарт_1+Патина+Плита_19_мм</f>
        <v>7450</v>
      </c>
      <c r="E14" s="127">
        <f>Стандарт_1+Сложная_фрезеровка+Патина+Плита_19_мм</f>
        <v>8450</v>
      </c>
      <c r="F14" s="127">
        <f>Стандарт_1+Сложная_фрезеровка_с_утопленной_вставкой+Патина+Плита_19_мм</f>
        <v>8950</v>
      </c>
      <c r="G14" s="86">
        <f>Стандарт_1+Авиньон+Патина+Плита_19_мм</f>
        <v>10450</v>
      </c>
      <c r="H14" s="9"/>
      <c r="I14" s="9"/>
      <c r="J14" s="9"/>
      <c r="K14" s="9"/>
      <c r="L14" s="9"/>
      <c r="M14" s="9"/>
      <c r="N14" s="9"/>
      <c r="O14" s="9"/>
      <c r="P14" s="9"/>
    </row>
    <row r="15" spans="1:16" s="13" customFormat="1" ht="26.25" customHeight="1">
      <c r="B15" s="71" t="s">
        <v>15</v>
      </c>
      <c r="C15" s="207"/>
      <c r="D15" s="14">
        <f>Стандарт_2+Патина+Плита_19_мм</f>
        <v>7850</v>
      </c>
      <c r="E15" s="15">
        <f>Стандарт_2+Сложная_фрезеровка+Патина+Плита_19_мм</f>
        <v>8850</v>
      </c>
      <c r="F15" s="15">
        <f>Стандарт_2+Сложная_фрезеровка_с_утопленной_вставкой+Патина+Плита_19_мм</f>
        <v>9350</v>
      </c>
      <c r="G15" s="16">
        <f>Стандарт_2+Авиньон+Патина+Плита_19_мм</f>
        <v>10850</v>
      </c>
    </row>
    <row r="16" spans="1:16" s="8" customFormat="1" ht="26.25" customHeight="1" thickBot="1">
      <c r="B16" s="73" t="s">
        <v>16</v>
      </c>
      <c r="C16" s="194"/>
      <c r="D16" s="132">
        <f>Стандарт_3+Патина+Плита_19_мм</f>
        <v>8250</v>
      </c>
      <c r="E16" s="131">
        <f>Стандарт_3+Сложная_фрезеровка+Патина+Плита_19_мм</f>
        <v>9250</v>
      </c>
      <c r="F16" s="131">
        <f>Стандарт_3+Сложная_фрезеровка_с_утопленной_вставкой+Патина+Плита_19_мм</f>
        <v>9750</v>
      </c>
      <c r="G16" s="17">
        <f>Стандарт_3+Авиньон+Патина+Плита_19_мм</f>
        <v>11250</v>
      </c>
      <c r="H16" s="9"/>
      <c r="I16" s="9"/>
      <c r="J16" s="9"/>
      <c r="K16" s="9"/>
      <c r="L16" s="9"/>
      <c r="M16" s="9"/>
      <c r="N16" s="9"/>
      <c r="O16" s="9"/>
      <c r="P16" s="9"/>
    </row>
    <row r="17" spans="1:16" s="8" customFormat="1" ht="26.25" customHeight="1">
      <c r="B17" s="97" t="s">
        <v>35</v>
      </c>
      <c r="C17" s="208" t="s">
        <v>19</v>
      </c>
      <c r="D17" s="126">
        <f>Престиж_1+Патина+Плита_19_мм</f>
        <v>9450</v>
      </c>
      <c r="E17" s="127">
        <f>Престиж_1+Сложная_фрезеровка+Патина+Плита_19_мм</f>
        <v>10450</v>
      </c>
      <c r="F17" s="127">
        <f>Престиж_1+Сложная_фрезеровка_с_утопленной_вставкой+Патина+Плита_19_мм</f>
        <v>10950</v>
      </c>
      <c r="G17" s="86">
        <f>Престиж_1+Авиньон+Патина+Плита_19_мм</f>
        <v>12450</v>
      </c>
      <c r="H17" s="9"/>
      <c r="I17" s="9"/>
      <c r="J17" s="9"/>
      <c r="K17" s="9"/>
      <c r="L17" s="9"/>
      <c r="M17" s="9"/>
      <c r="N17" s="9"/>
      <c r="O17" s="9"/>
      <c r="P17" s="9"/>
    </row>
    <row r="18" spans="1:16" s="8" customFormat="1" ht="26.25" customHeight="1" thickBot="1">
      <c r="B18" s="98" t="s">
        <v>20</v>
      </c>
      <c r="C18" s="209"/>
      <c r="D18" s="18">
        <f>Престиж_2+Патина+Плита_19_мм</f>
        <v>9850</v>
      </c>
      <c r="E18" s="19">
        <f>Престиж_2+Сложная_фрезеровка+Патина+Плита_19_мм</f>
        <v>10850</v>
      </c>
      <c r="F18" s="19">
        <f>Престиж_2+Сложная_фрезеровка_с_утопленной_вставкой+Патина+Плита_19_мм</f>
        <v>11350</v>
      </c>
      <c r="G18" s="20">
        <f>Престиж_2+Авиньон+Патина+Плита_19_мм</f>
        <v>12850</v>
      </c>
      <c r="H18" s="9"/>
      <c r="I18" s="9"/>
      <c r="J18" s="9"/>
      <c r="K18" s="9"/>
      <c r="L18" s="9"/>
      <c r="M18" s="9"/>
      <c r="N18" s="9"/>
      <c r="O18" s="9"/>
      <c r="P18" s="9"/>
    </row>
    <row r="19" spans="1:16" s="8" customFormat="1" ht="26.25" customHeight="1">
      <c r="B19" s="7"/>
      <c r="C19" s="7"/>
      <c r="D19" s="80"/>
      <c r="E19" s="10"/>
      <c r="F19" s="10"/>
      <c r="G19" s="10"/>
      <c r="H19" s="9"/>
      <c r="I19" s="9"/>
      <c r="J19" s="9"/>
      <c r="K19" s="9"/>
      <c r="L19" s="9"/>
      <c r="M19" s="9"/>
      <c r="N19" s="9"/>
      <c r="O19" s="9"/>
      <c r="P19" s="9"/>
    </row>
    <row r="20" spans="1:16" s="8" customFormat="1" ht="26.25" customHeight="1">
      <c r="B20" s="135" t="s">
        <v>37</v>
      </c>
      <c r="C20" s="7"/>
      <c r="D20" s="10"/>
      <c r="E20" s="10"/>
      <c r="F20" s="10"/>
      <c r="G20" s="83"/>
      <c r="H20" s="9"/>
      <c r="I20" s="9"/>
      <c r="J20" s="9"/>
      <c r="K20" s="9"/>
      <c r="L20" s="9"/>
      <c r="M20" s="9"/>
      <c r="N20" s="9"/>
      <c r="O20" s="9"/>
      <c r="P20" s="9"/>
    </row>
    <row r="21" spans="1:16" s="8" customFormat="1" ht="26.25" customHeight="1">
      <c r="B21" s="42"/>
      <c r="C21" s="84"/>
      <c r="E21" s="6" t="s">
        <v>38</v>
      </c>
      <c r="F21" s="87" t="str">
        <f>TEXT(Основа_гнутого_фасада,"+ # ##0")</f>
        <v>+ 7 000</v>
      </c>
      <c r="G21" s="40" t="s">
        <v>28</v>
      </c>
      <c r="H21" s="9"/>
      <c r="I21" s="9"/>
      <c r="J21" s="9"/>
      <c r="K21" s="9"/>
      <c r="L21" s="9"/>
      <c r="M21" s="9"/>
      <c r="N21" s="9"/>
      <c r="O21" s="9"/>
      <c r="P21" s="9"/>
    </row>
    <row r="22" spans="1:16" s="13" customFormat="1" ht="26.25" customHeight="1">
      <c r="B22" s="9"/>
      <c r="E22" s="23"/>
      <c r="F22" s="23"/>
    </row>
    <row r="23" spans="1:16" s="13" customFormat="1" ht="26.25" customHeight="1">
      <c r="B23" s="2" t="s">
        <v>29</v>
      </c>
      <c r="C23" s="10"/>
      <c r="D23" s="10"/>
    </row>
    <row r="24" spans="1:16" s="1" customFormat="1" ht="26.25" customHeight="1">
      <c r="A24" s="8"/>
      <c r="B24" s="23" t="s">
        <v>30</v>
      </c>
      <c r="C24" s="7"/>
      <c r="D24" s="13"/>
      <c r="E24" s="11"/>
      <c r="F24" s="11"/>
      <c r="G24" s="11"/>
      <c r="H24" s="7"/>
      <c r="I24" s="7"/>
      <c r="J24" s="7"/>
      <c r="K24" s="7"/>
      <c r="L24" s="7"/>
      <c r="M24" s="8"/>
      <c r="N24" s="8"/>
    </row>
    <row r="25" spans="1:16" s="8" customFormat="1" ht="26.25" customHeight="1">
      <c r="B25" s="7"/>
      <c r="C25" s="9"/>
      <c r="D25" s="10"/>
      <c r="E25" s="10"/>
      <c r="F25" s="10"/>
      <c r="G25" s="10"/>
      <c r="H25" s="9"/>
      <c r="I25" s="9"/>
      <c r="J25" s="9"/>
      <c r="K25" s="9"/>
      <c r="L25" s="9"/>
      <c r="M25" s="9"/>
      <c r="N25" s="9"/>
      <c r="O25" s="9"/>
      <c r="P25" s="9"/>
    </row>
    <row r="26" spans="1:16" s="8" customFormat="1" ht="26.25" customHeight="1">
      <c r="B26" s="21" t="s">
        <v>39</v>
      </c>
      <c r="C26" s="80"/>
      <c r="D26" s="80"/>
      <c r="E26" s="80"/>
      <c r="F26" s="80"/>
      <c r="G26" s="80"/>
      <c r="H26" s="9"/>
      <c r="I26" s="9"/>
      <c r="J26" s="9"/>
      <c r="K26" s="9"/>
      <c r="L26" s="9"/>
      <c r="M26" s="9"/>
      <c r="N26" s="9"/>
      <c r="O26" s="9"/>
      <c r="P26" s="9"/>
    </row>
    <row r="27" spans="1:16" s="8" customFormat="1" ht="26.25" customHeight="1">
      <c r="B27" s="7"/>
      <c r="C27" s="42" t="s">
        <v>40</v>
      </c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9"/>
    </row>
    <row r="28" spans="1:16" s="8" customFormat="1" ht="26.25" customHeight="1">
      <c r="B28" s="7"/>
      <c r="C28" s="7"/>
      <c r="D28" s="80"/>
      <c r="E28" s="10"/>
      <c r="F28" s="10"/>
      <c r="G28" s="10"/>
      <c r="H28" s="9"/>
      <c r="I28" s="9"/>
      <c r="J28" s="9"/>
      <c r="K28" s="9"/>
      <c r="L28" s="9"/>
      <c r="M28" s="9"/>
      <c r="N28" s="9"/>
      <c r="O28" s="9"/>
      <c r="P28" s="9"/>
    </row>
    <row r="29" spans="1:16" s="8" customFormat="1" ht="26.25" customHeight="1">
      <c r="B29" s="7"/>
      <c r="C29" s="7"/>
      <c r="D29" s="80"/>
      <c r="E29" s="10"/>
      <c r="F29" s="10"/>
      <c r="G29" s="10"/>
      <c r="H29" s="9"/>
      <c r="I29" s="9"/>
      <c r="J29" s="9"/>
      <c r="K29" s="9"/>
      <c r="L29" s="9"/>
      <c r="M29" s="9"/>
      <c r="N29" s="9"/>
      <c r="O29" s="9"/>
      <c r="P29" s="9"/>
    </row>
    <row r="30" spans="1:16" s="8" customFormat="1" ht="26.25" customHeight="1">
      <c r="B30" s="7"/>
      <c r="C30" s="7"/>
      <c r="D30" s="80"/>
      <c r="E30" s="10"/>
      <c r="F30" s="10"/>
      <c r="G30" s="10"/>
      <c r="H30" s="9"/>
      <c r="I30" s="9"/>
      <c r="J30" s="9"/>
      <c r="K30" s="9"/>
      <c r="L30" s="9"/>
      <c r="M30" s="9"/>
      <c r="N30" s="9"/>
      <c r="O30" s="9"/>
      <c r="P30" s="9"/>
    </row>
    <row r="31" spans="1:16" s="8" customFormat="1" ht="26.25" customHeight="1">
      <c r="B31" s="7"/>
      <c r="C31" s="7"/>
      <c r="D31" s="80"/>
      <c r="E31" s="10"/>
      <c r="F31" s="10"/>
      <c r="G31" s="10"/>
      <c r="H31" s="9"/>
      <c r="I31" s="9"/>
      <c r="J31" s="9"/>
      <c r="K31" s="9"/>
      <c r="L31" s="9"/>
      <c r="M31" s="9"/>
      <c r="N31" s="9"/>
      <c r="O31" s="9"/>
      <c r="P31" s="9"/>
    </row>
    <row r="32" spans="1:16" s="8" customFormat="1" ht="26.25" customHeight="1">
      <c r="B32" s="7"/>
      <c r="C32" s="7"/>
      <c r="D32" s="80"/>
      <c r="E32" s="10"/>
      <c r="F32" s="10"/>
      <c r="G32" s="10"/>
      <c r="H32" s="9"/>
      <c r="I32" s="9"/>
      <c r="J32" s="9"/>
      <c r="K32" s="9"/>
      <c r="L32" s="9"/>
      <c r="M32" s="9"/>
      <c r="N32" s="9"/>
      <c r="O32" s="9"/>
      <c r="P32" s="9"/>
    </row>
    <row r="33" spans="2:16" s="8" customFormat="1" ht="26.25" customHeight="1">
      <c r="B33" s="7"/>
      <c r="C33" s="7"/>
      <c r="D33" s="81"/>
      <c r="F33" s="9"/>
      <c r="G33" s="10"/>
      <c r="H33" s="9"/>
      <c r="I33" s="9"/>
      <c r="J33" s="9"/>
      <c r="K33" s="9"/>
      <c r="L33" s="9"/>
      <c r="M33" s="9"/>
      <c r="N33" s="9"/>
      <c r="O33" s="9"/>
      <c r="P33" s="9"/>
    </row>
    <row r="34" spans="2:16" s="8" customFormat="1" ht="26.25" customHeight="1">
      <c r="B34" s="7"/>
      <c r="C34" s="7"/>
      <c r="D34" s="10"/>
      <c r="E34" s="10"/>
      <c r="F34" s="10"/>
      <c r="G34" s="10"/>
      <c r="H34" s="9"/>
      <c r="I34" s="9"/>
      <c r="J34" s="9"/>
      <c r="K34" s="9"/>
      <c r="L34" s="9"/>
      <c r="M34" s="9"/>
      <c r="N34" s="9"/>
      <c r="O34" s="9"/>
      <c r="P34" s="9"/>
    </row>
    <row r="35" spans="2:16" s="8" customFormat="1" ht="26.25" customHeight="1">
      <c r="B35" s="7"/>
      <c r="C35" s="82"/>
      <c r="D35" s="10"/>
      <c r="E35" s="10"/>
      <c r="F35" s="10"/>
      <c r="G35" s="10"/>
      <c r="H35" s="9"/>
      <c r="I35" s="9"/>
      <c r="J35" s="9"/>
      <c r="K35" s="9"/>
      <c r="L35" s="9"/>
      <c r="M35" s="9"/>
      <c r="N35" s="9"/>
      <c r="O35" s="9"/>
      <c r="P35" s="9"/>
    </row>
    <row r="36" spans="2:16" s="8" customFormat="1" ht="26.25" customHeight="1">
      <c r="B36" s="7"/>
      <c r="C36" s="7"/>
      <c r="D36" s="80"/>
      <c r="E36" s="10"/>
      <c r="F36" s="10"/>
      <c r="G36" s="10"/>
      <c r="H36" s="9"/>
      <c r="I36" s="9"/>
      <c r="J36" s="9"/>
      <c r="K36" s="9"/>
      <c r="L36" s="9"/>
      <c r="M36" s="9"/>
      <c r="N36" s="9"/>
      <c r="O36" s="9"/>
      <c r="P36" s="9"/>
    </row>
    <row r="37" spans="2:16" s="8" customFormat="1" ht="26.25" customHeight="1">
      <c r="B37" s="7"/>
      <c r="C37" s="7"/>
      <c r="D37" s="10"/>
      <c r="E37" s="10"/>
      <c r="F37" s="10"/>
      <c r="G37" s="10"/>
      <c r="H37" s="9"/>
      <c r="I37" s="9"/>
      <c r="J37" s="9"/>
      <c r="K37" s="9"/>
      <c r="L37" s="9"/>
      <c r="M37" s="9"/>
      <c r="N37" s="9"/>
      <c r="O37" s="9"/>
      <c r="P37" s="9"/>
    </row>
    <row r="38" spans="2:16" s="8" customFormat="1" ht="26.25" customHeight="1">
      <c r="B38" s="82"/>
      <c r="C38" s="82"/>
      <c r="D38" s="81"/>
      <c r="E38" s="81"/>
      <c r="F38" s="81"/>
      <c r="G38" s="81"/>
      <c r="H38" s="9"/>
      <c r="I38" s="9"/>
      <c r="J38" s="9"/>
      <c r="K38" s="9"/>
      <c r="L38" s="9"/>
      <c r="M38" s="9"/>
      <c r="N38" s="9"/>
      <c r="O38" s="9"/>
      <c r="P38" s="9"/>
    </row>
    <row r="39" spans="2:16" s="8" customFormat="1" ht="26.25" customHeight="1">
      <c r="B39" s="80"/>
      <c r="C39" s="80"/>
      <c r="D39" s="80"/>
      <c r="E39" s="80"/>
      <c r="F39" s="80"/>
      <c r="G39" s="80"/>
      <c r="H39" s="9"/>
      <c r="I39" s="9"/>
      <c r="J39" s="9"/>
      <c r="K39" s="9"/>
      <c r="L39" s="9"/>
      <c r="M39" s="9"/>
      <c r="N39" s="9"/>
      <c r="O39" s="9"/>
      <c r="P39" s="9"/>
    </row>
    <row r="40" spans="2:16" s="8" customFormat="1" ht="26.25" customHeight="1">
      <c r="B40" s="7"/>
      <c r="C40" s="7"/>
      <c r="D40" s="10"/>
      <c r="E40" s="10"/>
      <c r="F40" s="10"/>
      <c r="G40" s="10"/>
      <c r="H40" s="9"/>
      <c r="I40" s="9"/>
      <c r="J40" s="9"/>
      <c r="K40" s="9"/>
      <c r="L40" s="9"/>
      <c r="M40" s="9"/>
      <c r="N40" s="9"/>
      <c r="O40" s="9"/>
      <c r="P40" s="9"/>
    </row>
    <row r="41" spans="2:16" s="8" customFormat="1" ht="26.25" customHeight="1">
      <c r="B41" s="82"/>
      <c r="C41" s="82"/>
      <c r="D41" s="81"/>
      <c r="E41" s="81"/>
      <c r="F41" s="81"/>
      <c r="G41" s="81"/>
      <c r="H41" s="9"/>
      <c r="I41" s="9"/>
      <c r="J41" s="9"/>
      <c r="K41" s="9"/>
      <c r="L41" s="9"/>
      <c r="M41" s="9"/>
      <c r="N41" s="9"/>
      <c r="O41" s="9"/>
      <c r="P41" s="9"/>
    </row>
    <row r="42" spans="2:16" s="13" customFormat="1" ht="26.25" customHeight="1">
      <c r="B42" s="23"/>
      <c r="E42" s="23"/>
      <c r="F42" s="23"/>
    </row>
    <row r="43" spans="2:16" ht="26.25" customHeight="1">
      <c r="B43" s="21"/>
      <c r="C43" s="13"/>
      <c r="D43" s="13"/>
      <c r="E43" s="23"/>
      <c r="F43" s="23"/>
      <c r="G43" s="11"/>
    </row>
    <row r="44" spans="2:16" ht="26.25" customHeight="1">
      <c r="B44" s="21"/>
      <c r="C44" s="13"/>
      <c r="D44" s="13"/>
      <c r="E44" s="23"/>
      <c r="F44" s="23"/>
      <c r="G44" s="11"/>
    </row>
    <row r="45" spans="2:16" ht="26.25" customHeight="1">
      <c r="B45" s="21"/>
      <c r="C45" s="13"/>
      <c r="D45" s="13"/>
      <c r="E45" s="23"/>
      <c r="F45" s="23"/>
      <c r="G45" s="11"/>
    </row>
    <row r="46" spans="2:16" ht="26.25" customHeight="1">
      <c r="H46" s="25" t="s">
        <v>41</v>
      </c>
    </row>
  </sheetData>
  <mergeCells count="10">
    <mergeCell ref="C14:C16"/>
    <mergeCell ref="C17:C18"/>
    <mergeCell ref="C5:C7"/>
    <mergeCell ref="C8:C9"/>
    <mergeCell ref="C12:C13"/>
    <mergeCell ref="D3:G3"/>
    <mergeCell ref="D12:G12"/>
    <mergeCell ref="B3:B4"/>
    <mergeCell ref="C3:C4"/>
    <mergeCell ref="B12:B13"/>
  </mergeCells>
  <phoneticPr fontId="1" type="noConversion"/>
  <pageMargins left="0.70866141732283472" right="0.31496062992125984" top="0.55118110236220474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2BC4A-2D9E-5A4F-A5BE-48CB342EA859}">
  <sheetPr>
    <pageSetUpPr fitToPage="1"/>
  </sheetPr>
  <dimension ref="A1:M47"/>
  <sheetViews>
    <sheetView view="pageBreakPreview" topLeftCell="A32" zoomScale="125" zoomScaleNormal="125" zoomScaleSheetLayoutView="125" workbookViewId="0">
      <selection activeCell="D10" sqref="D10"/>
    </sheetView>
  </sheetViews>
  <sheetFormatPr baseColWidth="10" defaultColWidth="9.1640625" defaultRowHeight="26.25" customHeight="1"/>
  <cols>
    <col min="1" max="1" width="1.6640625" style="1" customWidth="1"/>
    <col min="2" max="4" width="44.6640625" style="1" customWidth="1"/>
    <col min="5" max="5" width="1.6640625" style="7" customWidth="1"/>
    <col min="6" max="9" width="25.6640625" style="7" customWidth="1"/>
    <col min="10" max="14" width="25.6640625" style="1" customWidth="1"/>
    <col min="15" max="16384" width="9.1640625" style="1"/>
  </cols>
  <sheetData>
    <row r="1" spans="1:13" ht="26.25" customHeight="1">
      <c r="B1" s="27" t="s">
        <v>42</v>
      </c>
    </row>
    <row r="2" spans="1:13" ht="26.25" customHeight="1" thickBot="1"/>
    <row r="3" spans="1:13" ht="26.25" customHeight="1" thickBot="1">
      <c r="B3" s="216" t="s">
        <v>14</v>
      </c>
      <c r="C3" s="217"/>
      <c r="D3" s="218"/>
    </row>
    <row r="4" spans="1:13" ht="26.25" customHeight="1">
      <c r="B4" s="142" t="s">
        <v>44</v>
      </c>
      <c r="C4" s="143" t="s">
        <v>43</v>
      </c>
      <c r="D4" s="161" t="s">
        <v>60</v>
      </c>
      <c r="F4" s="12"/>
    </row>
    <row r="5" spans="1:13" ht="26.25" customHeight="1">
      <c r="B5" s="88" t="s">
        <v>47</v>
      </c>
      <c r="C5" s="119" t="s">
        <v>46</v>
      </c>
      <c r="D5" s="154" t="s">
        <v>67</v>
      </c>
      <c r="F5" s="12"/>
    </row>
    <row r="6" spans="1:13" ht="26.25" customHeight="1" thickBot="1">
      <c r="B6" s="144"/>
      <c r="C6" s="177" t="s">
        <v>49</v>
      </c>
      <c r="D6" s="92"/>
      <c r="F6" s="12"/>
    </row>
    <row r="7" spans="1:13" ht="26.25" customHeight="1" thickBot="1"/>
    <row r="8" spans="1:13" s="7" customFormat="1" ht="26.25" customHeight="1" thickBot="1">
      <c r="A8" s="1"/>
      <c r="B8" s="213" t="s">
        <v>15</v>
      </c>
      <c r="C8" s="214"/>
      <c r="D8" s="215"/>
      <c r="J8" s="1"/>
      <c r="K8" s="1"/>
      <c r="L8" s="1"/>
      <c r="M8" s="1"/>
    </row>
    <row r="9" spans="1:13" s="7" customFormat="1" ht="26.25" customHeight="1">
      <c r="A9" s="1"/>
      <c r="B9" s="122" t="s">
        <v>50</v>
      </c>
      <c r="C9" s="180" t="s">
        <v>62</v>
      </c>
      <c r="D9" s="115" t="s">
        <v>76</v>
      </c>
      <c r="J9" s="1"/>
      <c r="K9" s="1"/>
      <c r="L9" s="1"/>
      <c r="M9" s="1"/>
    </row>
    <row r="10" spans="1:13" s="7" customFormat="1" ht="26.25" customHeight="1">
      <c r="A10" s="1"/>
      <c r="B10" s="189" t="s">
        <v>53</v>
      </c>
      <c r="C10" s="187" t="s">
        <v>73</v>
      </c>
      <c r="D10" s="190" t="s">
        <v>77</v>
      </c>
      <c r="J10" s="1"/>
      <c r="K10" s="1"/>
      <c r="L10" s="1"/>
      <c r="M10" s="1"/>
    </row>
    <row r="11" spans="1:13" s="7" customFormat="1" ht="26.25" customHeight="1">
      <c r="A11" s="1"/>
      <c r="B11" s="175" t="s">
        <v>56</v>
      </c>
      <c r="C11" s="123" t="s">
        <v>74</v>
      </c>
      <c r="D11" s="181" t="s">
        <v>78</v>
      </c>
      <c r="J11" s="1"/>
      <c r="K11" s="1"/>
      <c r="L11" s="1"/>
      <c r="M11" s="1"/>
    </row>
    <row r="12" spans="1:13" s="7" customFormat="1" ht="26.25" customHeight="1" thickBot="1">
      <c r="A12" s="1"/>
      <c r="B12" s="117" t="s">
        <v>58</v>
      </c>
      <c r="C12" s="178" t="s">
        <v>65</v>
      </c>
      <c r="D12" s="188"/>
      <c r="J12" s="1"/>
      <c r="K12" s="1"/>
      <c r="L12" s="1"/>
      <c r="M12" s="1"/>
    </row>
    <row r="13" spans="1:13" ht="26.25" customHeight="1" thickBot="1"/>
    <row r="14" spans="1:13" s="7" customFormat="1" ht="26.25" customHeight="1" thickBot="1">
      <c r="A14" s="1"/>
      <c r="B14" s="213" t="s">
        <v>16</v>
      </c>
      <c r="C14" s="214"/>
      <c r="D14" s="215"/>
      <c r="J14" s="1"/>
      <c r="K14" s="1"/>
      <c r="L14" s="1"/>
      <c r="M14" s="1"/>
    </row>
    <row r="15" spans="1:13" s="7" customFormat="1" ht="26.25" customHeight="1">
      <c r="A15" s="1"/>
      <c r="B15" s="139" t="s">
        <v>79</v>
      </c>
      <c r="C15" s="151" t="s">
        <v>61</v>
      </c>
      <c r="D15" s="152" t="s">
        <v>71</v>
      </c>
      <c r="J15" s="1"/>
      <c r="K15" s="1"/>
      <c r="L15" s="1"/>
      <c r="M15" s="1"/>
    </row>
    <row r="16" spans="1:13" s="7" customFormat="1" ht="26.25" customHeight="1">
      <c r="A16" s="1"/>
      <c r="B16" s="116" t="s">
        <v>45</v>
      </c>
      <c r="C16" s="123" t="s">
        <v>63</v>
      </c>
      <c r="D16" s="93" t="s">
        <v>72</v>
      </c>
      <c r="J16" s="1"/>
      <c r="K16" s="1"/>
      <c r="L16" s="1"/>
      <c r="M16" s="1"/>
    </row>
    <row r="17" spans="1:13" s="7" customFormat="1" ht="26.25" customHeight="1">
      <c r="A17" s="1"/>
      <c r="B17" s="116" t="s">
        <v>48</v>
      </c>
      <c r="C17" s="123" t="s">
        <v>64</v>
      </c>
      <c r="D17" s="179" t="s">
        <v>82</v>
      </c>
      <c r="J17" s="1"/>
      <c r="K17" s="1"/>
      <c r="L17" s="1"/>
      <c r="M17" s="1"/>
    </row>
    <row r="18" spans="1:13" s="7" customFormat="1" ht="26.25" customHeight="1">
      <c r="A18" s="1"/>
      <c r="B18" s="116" t="s">
        <v>51</v>
      </c>
      <c r="C18" s="123" t="s">
        <v>66</v>
      </c>
      <c r="D18" s="179" t="s">
        <v>85</v>
      </c>
      <c r="J18" s="1"/>
      <c r="K18" s="1"/>
      <c r="L18" s="1"/>
      <c r="M18" s="1"/>
    </row>
    <row r="19" spans="1:13" s="7" customFormat="1" ht="26.25" customHeight="1">
      <c r="A19" s="1"/>
      <c r="B19" s="168" t="s">
        <v>54</v>
      </c>
      <c r="C19" s="169" t="s">
        <v>68</v>
      </c>
      <c r="D19" s="170" t="s">
        <v>75</v>
      </c>
      <c r="J19" s="1"/>
      <c r="K19" s="1"/>
      <c r="L19" s="1"/>
      <c r="M19" s="1"/>
    </row>
    <row r="20" spans="1:13" s="7" customFormat="1" ht="26.25" customHeight="1">
      <c r="A20" s="1"/>
      <c r="B20" s="168" t="s">
        <v>57</v>
      </c>
      <c r="C20" s="169" t="s">
        <v>69</v>
      </c>
      <c r="D20" s="170"/>
      <c r="J20" s="1"/>
      <c r="K20" s="1"/>
      <c r="L20" s="1"/>
      <c r="M20" s="1"/>
    </row>
    <row r="21" spans="1:13" s="7" customFormat="1" ht="26.25" customHeight="1" thickBot="1">
      <c r="A21" s="1"/>
      <c r="B21" s="166" t="s">
        <v>59</v>
      </c>
      <c r="C21" s="118" t="s">
        <v>70</v>
      </c>
      <c r="D21" s="167"/>
      <c r="J21" s="1"/>
      <c r="K21" s="1"/>
      <c r="L21" s="1"/>
      <c r="M21" s="1"/>
    </row>
    <row r="22" spans="1:13" ht="26.25" customHeight="1" thickBot="1"/>
    <row r="23" spans="1:13" s="7" customFormat="1" ht="26.25" customHeight="1" thickBot="1">
      <c r="A23" s="1"/>
      <c r="B23" s="210" t="s">
        <v>379</v>
      </c>
      <c r="C23" s="211"/>
      <c r="D23" s="212"/>
      <c r="J23" s="1"/>
      <c r="K23" s="1"/>
      <c r="L23" s="1"/>
      <c r="M23" s="1"/>
    </row>
    <row r="24" spans="1:13" s="7" customFormat="1" ht="26.25" customHeight="1">
      <c r="A24" s="1"/>
      <c r="B24" s="148" t="s">
        <v>88</v>
      </c>
      <c r="C24" s="149" t="s">
        <v>89</v>
      </c>
      <c r="D24" s="191" t="s">
        <v>96</v>
      </c>
      <c r="J24" s="1"/>
      <c r="K24" s="1"/>
      <c r="L24" s="1"/>
      <c r="M24" s="1"/>
    </row>
    <row r="25" spans="1:13" s="7" customFormat="1" ht="26.25" customHeight="1">
      <c r="A25" s="1"/>
      <c r="B25" s="113" t="s">
        <v>91</v>
      </c>
      <c r="C25" s="114" t="s">
        <v>98</v>
      </c>
      <c r="D25" s="115" t="s">
        <v>99</v>
      </c>
      <c r="J25" s="1"/>
      <c r="K25" s="1"/>
      <c r="L25" s="1"/>
      <c r="M25" s="1"/>
    </row>
    <row r="26" spans="1:13" s="7" customFormat="1" ht="26.25" customHeight="1">
      <c r="A26" s="1"/>
      <c r="B26" s="116" t="s">
        <v>94</v>
      </c>
      <c r="C26" s="123" t="s">
        <v>101</v>
      </c>
      <c r="D26" s="173" t="s">
        <v>102</v>
      </c>
      <c r="J26" s="1"/>
      <c r="K26" s="1"/>
      <c r="L26" s="1"/>
      <c r="M26" s="1"/>
    </row>
    <row r="27" spans="1:13" s="7" customFormat="1" ht="26.25" customHeight="1">
      <c r="A27" s="1"/>
      <c r="B27" s="116" t="s">
        <v>97</v>
      </c>
      <c r="C27" s="123" t="s">
        <v>81</v>
      </c>
      <c r="D27" s="93" t="s">
        <v>106</v>
      </c>
      <c r="J27" s="1"/>
      <c r="K27" s="1"/>
      <c r="L27" s="1"/>
      <c r="M27" s="1"/>
    </row>
    <row r="28" spans="1:13" s="7" customFormat="1" ht="26.25" customHeight="1">
      <c r="A28" s="1"/>
      <c r="B28" s="182" t="s">
        <v>100</v>
      </c>
      <c r="C28" s="169" t="s">
        <v>84</v>
      </c>
      <c r="D28" s="184" t="s">
        <v>109</v>
      </c>
      <c r="J28" s="1"/>
      <c r="K28" s="1"/>
      <c r="L28" s="1"/>
      <c r="M28" s="1"/>
    </row>
    <row r="29" spans="1:13" s="7" customFormat="1" ht="26.25" customHeight="1">
      <c r="A29" s="1"/>
      <c r="B29" s="168" t="s">
        <v>103</v>
      </c>
      <c r="C29" s="169" t="s">
        <v>52</v>
      </c>
      <c r="D29" s="170" t="s">
        <v>107</v>
      </c>
      <c r="J29" s="1"/>
      <c r="K29" s="1"/>
      <c r="L29" s="1"/>
      <c r="M29" s="1"/>
    </row>
    <row r="30" spans="1:13" s="7" customFormat="1" ht="26.25" customHeight="1">
      <c r="A30" s="1"/>
      <c r="B30" s="168" t="s">
        <v>80</v>
      </c>
      <c r="C30" s="169" t="s">
        <v>87</v>
      </c>
      <c r="D30" s="186" t="s">
        <v>110</v>
      </c>
      <c r="J30" s="1"/>
      <c r="K30" s="1"/>
      <c r="L30" s="1"/>
      <c r="M30" s="1"/>
    </row>
    <row r="31" spans="1:13" s="7" customFormat="1" ht="26.25" customHeight="1">
      <c r="A31" s="1"/>
      <c r="B31" s="168" t="s">
        <v>83</v>
      </c>
      <c r="C31" s="169" t="s">
        <v>90</v>
      </c>
      <c r="D31" s="184"/>
      <c r="J31" s="1"/>
      <c r="K31" s="1"/>
      <c r="L31" s="1"/>
      <c r="M31" s="1"/>
    </row>
    <row r="32" spans="1:13" s="7" customFormat="1" ht="26.25" customHeight="1" thickBot="1">
      <c r="A32" s="1"/>
      <c r="B32" s="166" t="s">
        <v>86</v>
      </c>
      <c r="C32" s="162" t="s">
        <v>93</v>
      </c>
      <c r="D32" s="167"/>
      <c r="J32" s="1"/>
      <c r="K32" s="1"/>
      <c r="L32" s="1"/>
      <c r="M32" s="1"/>
    </row>
    <row r="33" spans="1:13" s="7" customFormat="1" ht="26.25" customHeight="1" thickBot="1">
      <c r="A33" s="1"/>
      <c r="B33" s="164"/>
      <c r="C33" s="163"/>
      <c r="D33" s="165"/>
      <c r="J33" s="1"/>
      <c r="K33" s="1"/>
      <c r="L33" s="1"/>
      <c r="M33" s="1"/>
    </row>
    <row r="34" spans="1:13" s="7" customFormat="1" ht="26.25" customHeight="1" thickBot="1">
      <c r="A34" s="1"/>
      <c r="B34" s="210" t="s">
        <v>378</v>
      </c>
      <c r="C34" s="211"/>
      <c r="D34" s="212"/>
      <c r="J34" s="1"/>
      <c r="K34" s="1"/>
      <c r="L34" s="1"/>
      <c r="M34" s="1"/>
    </row>
    <row r="35" spans="1:13" s="7" customFormat="1" ht="26.25" customHeight="1" thickBot="1">
      <c r="A35" s="1"/>
      <c r="B35" s="145" t="s">
        <v>105</v>
      </c>
      <c r="C35" s="146" t="s">
        <v>108</v>
      </c>
      <c r="D35" s="147"/>
      <c r="J35" s="1"/>
      <c r="K35" s="1"/>
      <c r="L35" s="1"/>
      <c r="M35" s="1"/>
    </row>
    <row r="36" spans="1:13" ht="26.25" customHeight="1" thickBot="1"/>
    <row r="37" spans="1:13" s="7" customFormat="1" ht="26.25" customHeight="1" thickBot="1">
      <c r="A37" s="1"/>
      <c r="B37" s="210" t="s">
        <v>365</v>
      </c>
      <c r="C37" s="211"/>
      <c r="D37" s="212"/>
      <c r="J37" s="1"/>
      <c r="K37" s="1"/>
      <c r="L37" s="1"/>
      <c r="M37" s="1"/>
    </row>
    <row r="38" spans="1:13" s="7" customFormat="1" ht="26.25" customHeight="1">
      <c r="A38" s="1"/>
      <c r="B38" s="148" t="s">
        <v>367</v>
      </c>
      <c r="C38" s="149" t="s">
        <v>371</v>
      </c>
      <c r="D38" s="150" t="s">
        <v>368</v>
      </c>
      <c r="J38" s="1"/>
      <c r="K38" s="1"/>
      <c r="L38" s="1"/>
      <c r="M38" s="1"/>
    </row>
    <row r="39" spans="1:13" s="7" customFormat="1" ht="26.25" customHeight="1">
      <c r="A39" s="1"/>
      <c r="B39" s="172" t="s">
        <v>369</v>
      </c>
      <c r="C39" s="176" t="s">
        <v>372</v>
      </c>
      <c r="D39" s="173" t="s">
        <v>384</v>
      </c>
      <c r="J39" s="1"/>
      <c r="K39" s="1"/>
      <c r="L39" s="1"/>
      <c r="M39" s="1"/>
    </row>
    <row r="40" spans="1:13" s="7" customFormat="1" ht="26.25" customHeight="1">
      <c r="A40" s="1"/>
      <c r="B40" s="174" t="s">
        <v>370</v>
      </c>
      <c r="C40" s="171" t="s">
        <v>400</v>
      </c>
      <c r="D40" s="173" t="s">
        <v>403</v>
      </c>
      <c r="J40" s="1"/>
      <c r="K40" s="1"/>
      <c r="L40" s="1"/>
      <c r="M40" s="1"/>
    </row>
    <row r="41" spans="1:13" s="7" customFormat="1" ht="26.25" customHeight="1">
      <c r="A41" s="1"/>
      <c r="B41" s="185" t="s">
        <v>382</v>
      </c>
      <c r="C41" s="183" t="s">
        <v>401</v>
      </c>
      <c r="D41" s="184" t="s">
        <v>381</v>
      </c>
      <c r="J41" s="1"/>
      <c r="K41" s="1"/>
      <c r="L41" s="1"/>
      <c r="M41" s="1"/>
    </row>
    <row r="42" spans="1:13" s="7" customFormat="1" ht="26.25" customHeight="1">
      <c r="A42" s="1"/>
      <c r="B42" s="182" t="s">
        <v>387</v>
      </c>
      <c r="C42" s="183" t="s">
        <v>402</v>
      </c>
      <c r="D42" s="184" t="s">
        <v>385</v>
      </c>
      <c r="J42" s="1"/>
      <c r="K42" s="1"/>
      <c r="L42" s="1"/>
      <c r="M42" s="1"/>
    </row>
    <row r="43" spans="1:13" s="7" customFormat="1" ht="26.25" customHeight="1" thickBot="1">
      <c r="A43" s="1"/>
      <c r="B43" s="112" t="s">
        <v>383</v>
      </c>
      <c r="C43" s="162"/>
      <c r="D43" s="92"/>
      <c r="J43" s="1"/>
      <c r="K43" s="1"/>
      <c r="L43" s="1"/>
      <c r="M43" s="1"/>
    </row>
    <row r="45" spans="1:13" ht="26.25" customHeight="1">
      <c r="B45" s="8" t="s">
        <v>111</v>
      </c>
    </row>
    <row r="46" spans="1:13" ht="26.25" customHeight="1">
      <c r="B46" s="8" t="s">
        <v>112</v>
      </c>
    </row>
    <row r="47" spans="1:13" ht="26.25" customHeight="1">
      <c r="E47" s="25" t="s">
        <v>113</v>
      </c>
    </row>
  </sheetData>
  <sortState xmlns:xlrd2="http://schemas.microsoft.com/office/spreadsheetml/2017/richdata2" ref="C9:C12">
    <sortCondition ref="C9"/>
  </sortState>
  <mergeCells count="6">
    <mergeCell ref="B23:D23"/>
    <mergeCell ref="B37:D37"/>
    <mergeCell ref="B8:D8"/>
    <mergeCell ref="B3:D3"/>
    <mergeCell ref="B14:D14"/>
    <mergeCell ref="B34:D34"/>
  </mergeCells>
  <pageMargins left="0.70866141732283505" right="0.31496062992126" top="0.30118110199999998" bottom="0.35433070866141703" header="6.4960630000000005E-2" footer="0.31496062992126"/>
  <pageSetup paperSize="9" scale="6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4E2A3-5D92-E64E-8E11-161FA170E2F4}">
  <sheetPr>
    <pageSetUpPr fitToPage="1"/>
  </sheetPr>
  <dimension ref="A1:N46"/>
  <sheetViews>
    <sheetView view="pageBreakPreview" topLeftCell="A37" zoomScale="125" zoomScaleNormal="150" zoomScaleSheetLayoutView="125" workbookViewId="0">
      <selection activeCell="B1" sqref="B1"/>
    </sheetView>
  </sheetViews>
  <sheetFormatPr baseColWidth="10" defaultColWidth="9.1640625" defaultRowHeight="26.25" customHeight="1"/>
  <cols>
    <col min="1" max="1" width="1.6640625" style="31" customWidth="1"/>
    <col min="2" max="7" width="23.6640625" style="31" customWidth="1"/>
    <col min="8" max="8" width="1.6640625" style="30" customWidth="1"/>
    <col min="9" max="10" width="25.6640625" style="30" customWidth="1"/>
    <col min="11" max="15" width="25.6640625" style="31" customWidth="1"/>
    <col min="16" max="16384" width="9.1640625" style="31"/>
  </cols>
  <sheetData>
    <row r="1" spans="1:14" s="30" customFormat="1" ht="26.25" customHeight="1">
      <c r="A1" s="26"/>
      <c r="B1" s="27" t="s">
        <v>114</v>
      </c>
      <c r="C1" s="28"/>
      <c r="D1" s="28"/>
      <c r="E1" s="29"/>
      <c r="F1" s="29"/>
      <c r="G1" s="29"/>
      <c r="K1" s="26"/>
      <c r="L1" s="26"/>
      <c r="M1" s="26"/>
      <c r="N1" s="26"/>
    </row>
    <row r="2" spans="1:14" s="30" customFormat="1" ht="26.25" customHeight="1" thickBot="1">
      <c r="A2" s="26"/>
      <c r="B2" s="27"/>
      <c r="C2" s="28"/>
      <c r="D2" s="28"/>
      <c r="E2" s="29"/>
      <c r="F2" s="29"/>
      <c r="G2" s="29"/>
      <c r="K2" s="26"/>
      <c r="L2" s="26"/>
      <c r="M2" s="26"/>
      <c r="N2" s="26"/>
    </row>
    <row r="3" spans="1:14" s="30" customFormat="1" ht="26.25" customHeight="1" thickBot="1">
      <c r="A3" s="31"/>
      <c r="B3" s="225" t="s">
        <v>18</v>
      </c>
      <c r="C3" s="226"/>
      <c r="D3" s="227"/>
      <c r="E3" s="227"/>
      <c r="F3" s="227"/>
      <c r="G3" s="228"/>
      <c r="K3" s="31"/>
      <c r="L3" s="31"/>
      <c r="M3" s="31"/>
      <c r="N3" s="31"/>
    </row>
    <row r="4" spans="1:14" s="30" customFormat="1" ht="26.25" customHeight="1">
      <c r="A4" s="31"/>
      <c r="B4" s="229" t="s">
        <v>115</v>
      </c>
      <c r="C4" s="230"/>
      <c r="D4" s="230" t="s">
        <v>145</v>
      </c>
      <c r="E4" s="231"/>
      <c r="F4" s="232" t="s">
        <v>173</v>
      </c>
      <c r="G4" s="233"/>
      <c r="K4" s="31"/>
      <c r="L4" s="31"/>
      <c r="M4" s="31"/>
      <c r="N4" s="31"/>
    </row>
    <row r="5" spans="1:14" s="30" customFormat="1" ht="26.25" customHeight="1">
      <c r="A5" s="31"/>
      <c r="B5" s="245" t="s">
        <v>118</v>
      </c>
      <c r="C5" s="237"/>
      <c r="D5" s="246" t="s">
        <v>148</v>
      </c>
      <c r="E5" s="247"/>
      <c r="F5" s="241" t="s">
        <v>174</v>
      </c>
      <c r="G5" s="248"/>
      <c r="K5" s="31"/>
      <c r="L5" s="31"/>
      <c r="M5" s="31"/>
      <c r="N5" s="31"/>
    </row>
    <row r="6" spans="1:14" s="30" customFormat="1" ht="26.25" customHeight="1">
      <c r="A6" s="31"/>
      <c r="B6" s="234" t="s">
        <v>121</v>
      </c>
      <c r="C6" s="235"/>
      <c r="D6" s="246" t="s">
        <v>150</v>
      </c>
      <c r="E6" s="247"/>
      <c r="F6" s="254" t="s">
        <v>176</v>
      </c>
      <c r="G6" s="255"/>
      <c r="K6" s="31"/>
      <c r="L6" s="31"/>
      <c r="M6" s="31"/>
      <c r="N6" s="31"/>
    </row>
    <row r="7" spans="1:14" s="30" customFormat="1" ht="26.25" customHeight="1">
      <c r="A7" s="31"/>
      <c r="B7" s="239" t="s">
        <v>124</v>
      </c>
      <c r="C7" s="240"/>
      <c r="D7" s="241" t="s">
        <v>153</v>
      </c>
      <c r="E7" s="242"/>
      <c r="F7" s="241" t="s">
        <v>177</v>
      </c>
      <c r="G7" s="243"/>
      <c r="K7" s="31"/>
      <c r="L7" s="31"/>
      <c r="M7" s="31"/>
      <c r="N7" s="31"/>
    </row>
    <row r="8" spans="1:14" s="30" customFormat="1" ht="26.25" customHeight="1">
      <c r="A8" s="31"/>
      <c r="B8" s="239" t="s">
        <v>127</v>
      </c>
      <c r="C8" s="240"/>
      <c r="D8" s="241" t="s">
        <v>156</v>
      </c>
      <c r="E8" s="242"/>
      <c r="F8" s="241" t="s">
        <v>178</v>
      </c>
      <c r="G8" s="243"/>
      <c r="K8" s="31"/>
      <c r="L8" s="31"/>
      <c r="M8" s="31"/>
      <c r="N8" s="31"/>
    </row>
    <row r="9" spans="1:14" s="30" customFormat="1" ht="26.25" customHeight="1">
      <c r="A9" s="31"/>
      <c r="B9" s="239" t="s">
        <v>130</v>
      </c>
      <c r="C9" s="240"/>
      <c r="D9" s="241" t="s">
        <v>159</v>
      </c>
      <c r="E9" s="242"/>
      <c r="F9" s="241" t="s">
        <v>179</v>
      </c>
      <c r="G9" s="243"/>
      <c r="K9" s="31"/>
      <c r="L9" s="31"/>
      <c r="M9" s="31"/>
      <c r="N9" s="31"/>
    </row>
    <row r="10" spans="1:14" s="30" customFormat="1" ht="26.25" customHeight="1">
      <c r="A10" s="31"/>
      <c r="B10" s="239" t="s">
        <v>133</v>
      </c>
      <c r="C10" s="240"/>
      <c r="D10" s="241" t="s">
        <v>162</v>
      </c>
      <c r="E10" s="242"/>
      <c r="F10" s="241" t="s">
        <v>180</v>
      </c>
      <c r="G10" s="243"/>
      <c r="K10" s="31"/>
      <c r="L10" s="31"/>
      <c r="M10" s="31"/>
      <c r="N10" s="31"/>
    </row>
    <row r="11" spans="1:14" s="30" customFormat="1" ht="26.25" customHeight="1">
      <c r="A11" s="31"/>
      <c r="B11" s="239" t="s">
        <v>136</v>
      </c>
      <c r="C11" s="244"/>
      <c r="D11" s="241" t="s">
        <v>165</v>
      </c>
      <c r="E11" s="242"/>
      <c r="F11" s="241" t="s">
        <v>181</v>
      </c>
      <c r="G11" s="243"/>
      <c r="K11" s="31"/>
      <c r="L11" s="31"/>
      <c r="M11" s="31"/>
      <c r="N11" s="31"/>
    </row>
    <row r="12" spans="1:14" s="30" customFormat="1" ht="26.25" customHeight="1">
      <c r="A12" s="31"/>
      <c r="B12" s="234" t="s">
        <v>139</v>
      </c>
      <c r="C12" s="235"/>
      <c r="D12" s="236" t="s">
        <v>168</v>
      </c>
      <c r="E12" s="237"/>
      <c r="F12" s="236" t="s">
        <v>182</v>
      </c>
      <c r="G12" s="238"/>
      <c r="K12" s="31"/>
      <c r="L12" s="31"/>
      <c r="M12" s="31"/>
      <c r="N12" s="31"/>
    </row>
    <row r="13" spans="1:14" s="30" customFormat="1" ht="26.25" customHeight="1" thickBot="1">
      <c r="A13" s="31"/>
      <c r="B13" s="219" t="s">
        <v>142</v>
      </c>
      <c r="C13" s="220"/>
      <c r="D13" s="221" t="s">
        <v>171</v>
      </c>
      <c r="E13" s="222"/>
      <c r="F13" s="223"/>
      <c r="G13" s="224"/>
      <c r="K13" s="31"/>
      <c r="L13" s="31"/>
      <c r="M13" s="31"/>
      <c r="N13" s="31"/>
    </row>
    <row r="14" spans="1:14" s="30" customFormat="1" ht="26.25" customHeight="1" thickBot="1">
      <c r="A14" s="31"/>
      <c r="B14" s="37"/>
      <c r="C14" s="32"/>
      <c r="D14" s="23"/>
      <c r="E14" s="2"/>
      <c r="F14" s="37"/>
      <c r="G14" s="32"/>
      <c r="K14" s="31"/>
      <c r="L14" s="31"/>
      <c r="M14" s="31"/>
      <c r="N14" s="31"/>
    </row>
    <row r="15" spans="1:14" s="30" customFormat="1" ht="26.25" customHeight="1" thickBot="1">
      <c r="A15" s="31"/>
      <c r="B15" s="250" t="s">
        <v>20</v>
      </c>
      <c r="C15" s="251"/>
      <c r="D15" s="252"/>
      <c r="E15" s="252"/>
      <c r="F15" s="252"/>
      <c r="G15" s="253"/>
      <c r="K15" s="31"/>
      <c r="L15" s="31"/>
      <c r="M15" s="31"/>
      <c r="N15" s="31"/>
    </row>
    <row r="16" spans="1:14" s="30" customFormat="1" ht="26.25" customHeight="1">
      <c r="A16" s="31"/>
      <c r="B16" s="229" t="s">
        <v>116</v>
      </c>
      <c r="C16" s="230"/>
      <c r="D16" s="230" t="s">
        <v>137</v>
      </c>
      <c r="E16" s="231"/>
      <c r="F16" s="232" t="s">
        <v>160</v>
      </c>
      <c r="G16" s="233"/>
      <c r="K16" s="31"/>
      <c r="L16" s="31"/>
      <c r="M16" s="31"/>
      <c r="N16" s="31"/>
    </row>
    <row r="17" spans="1:14" s="30" customFormat="1" ht="26.25" customHeight="1">
      <c r="A17" s="31"/>
      <c r="B17" s="245" t="s">
        <v>119</v>
      </c>
      <c r="C17" s="237"/>
      <c r="D17" s="236" t="s">
        <v>140</v>
      </c>
      <c r="E17" s="237"/>
      <c r="F17" s="241" t="s">
        <v>163</v>
      </c>
      <c r="G17" s="248"/>
      <c r="K17" s="31"/>
      <c r="L17" s="31"/>
      <c r="M17" s="31"/>
      <c r="N17" s="31"/>
    </row>
    <row r="18" spans="1:14" s="30" customFormat="1" ht="26.25" customHeight="1">
      <c r="A18" s="31"/>
      <c r="B18" s="239" t="s">
        <v>122</v>
      </c>
      <c r="C18" s="240"/>
      <c r="D18" s="241" t="s">
        <v>143</v>
      </c>
      <c r="E18" s="242"/>
      <c r="F18" s="241" t="s">
        <v>166</v>
      </c>
      <c r="G18" s="243"/>
      <c r="K18" s="31"/>
      <c r="L18" s="31"/>
      <c r="M18" s="31"/>
      <c r="N18" s="31"/>
    </row>
    <row r="19" spans="1:14" s="30" customFormat="1" ht="26.25" customHeight="1">
      <c r="A19" s="31"/>
      <c r="B19" s="239" t="s">
        <v>125</v>
      </c>
      <c r="C19" s="240"/>
      <c r="D19" s="241" t="s">
        <v>146</v>
      </c>
      <c r="E19" s="242"/>
      <c r="F19" s="241" t="s">
        <v>169</v>
      </c>
      <c r="G19" s="243"/>
      <c r="K19" s="31"/>
      <c r="L19" s="31"/>
      <c r="M19" s="31"/>
      <c r="N19" s="31"/>
    </row>
    <row r="20" spans="1:14" s="30" customFormat="1" ht="26.25" customHeight="1">
      <c r="A20" s="31"/>
      <c r="B20" s="239" t="s">
        <v>128</v>
      </c>
      <c r="C20" s="244"/>
      <c r="D20" s="241" t="s">
        <v>151</v>
      </c>
      <c r="E20" s="242"/>
      <c r="F20" s="241" t="s">
        <v>172</v>
      </c>
      <c r="G20" s="243"/>
      <c r="K20" s="31"/>
      <c r="L20" s="31"/>
      <c r="M20" s="31"/>
      <c r="N20" s="31"/>
    </row>
    <row r="21" spans="1:14" s="30" customFormat="1" ht="26.25" customHeight="1">
      <c r="A21" s="31"/>
      <c r="B21" s="234" t="s">
        <v>131</v>
      </c>
      <c r="C21" s="235"/>
      <c r="D21" s="236" t="s">
        <v>154</v>
      </c>
      <c r="E21" s="237"/>
      <c r="F21" s="236" t="s">
        <v>175</v>
      </c>
      <c r="G21" s="249"/>
      <c r="K21" s="31"/>
      <c r="L21" s="31"/>
      <c r="M21" s="31"/>
      <c r="N21" s="31"/>
    </row>
    <row r="22" spans="1:14" s="30" customFormat="1" ht="26.25" customHeight="1" thickBot="1">
      <c r="A22" s="31"/>
      <c r="B22" s="219" t="s">
        <v>134</v>
      </c>
      <c r="C22" s="223"/>
      <c r="D22" s="221" t="s">
        <v>157</v>
      </c>
      <c r="E22" s="221"/>
      <c r="F22" s="223"/>
      <c r="G22" s="224"/>
      <c r="K22" s="31"/>
      <c r="L22" s="31"/>
      <c r="M22" s="31"/>
      <c r="N22" s="31"/>
    </row>
    <row r="23" spans="1:14" s="30" customFormat="1" ht="26.25" customHeight="1" thickBot="1">
      <c r="A23" s="31"/>
      <c r="B23" s="37"/>
      <c r="C23" s="32"/>
      <c r="D23" s="23"/>
      <c r="E23" s="2"/>
      <c r="F23" s="37"/>
      <c r="G23" s="32"/>
      <c r="K23" s="31"/>
      <c r="L23" s="31"/>
      <c r="M23" s="31"/>
      <c r="N23" s="31"/>
    </row>
    <row r="24" spans="1:14" s="30" customFormat="1" ht="26.25" customHeight="1" thickBot="1">
      <c r="A24" s="31"/>
      <c r="B24" s="225" t="s">
        <v>21</v>
      </c>
      <c r="C24" s="226"/>
      <c r="D24" s="227"/>
      <c r="E24" s="227"/>
      <c r="F24" s="227"/>
      <c r="G24" s="228"/>
      <c r="K24" s="31"/>
      <c r="L24" s="31"/>
      <c r="M24" s="31"/>
      <c r="N24" s="31"/>
    </row>
    <row r="25" spans="1:14" s="30" customFormat="1" ht="26.25" customHeight="1">
      <c r="A25" s="31"/>
      <c r="B25" s="229" t="s">
        <v>117</v>
      </c>
      <c r="C25" s="230"/>
      <c r="D25" s="230" t="s">
        <v>135</v>
      </c>
      <c r="E25" s="231"/>
      <c r="F25" s="232" t="s">
        <v>155</v>
      </c>
      <c r="G25" s="233"/>
      <c r="K25" s="31"/>
      <c r="L25" s="31"/>
      <c r="M25" s="31"/>
      <c r="N25" s="31"/>
    </row>
    <row r="26" spans="1:14" s="30" customFormat="1" ht="26.25" customHeight="1">
      <c r="A26" s="31"/>
      <c r="B26" s="245" t="s">
        <v>120</v>
      </c>
      <c r="C26" s="237"/>
      <c r="D26" s="246" t="s">
        <v>138</v>
      </c>
      <c r="E26" s="247"/>
      <c r="F26" s="241" t="s">
        <v>158</v>
      </c>
      <c r="G26" s="248"/>
      <c r="K26" s="31"/>
      <c r="L26" s="31"/>
      <c r="M26" s="31"/>
      <c r="N26" s="31"/>
    </row>
    <row r="27" spans="1:14" s="30" customFormat="1" ht="26.25" customHeight="1">
      <c r="A27" s="31"/>
      <c r="B27" s="239" t="s">
        <v>123</v>
      </c>
      <c r="C27" s="240"/>
      <c r="D27" s="241" t="s">
        <v>141</v>
      </c>
      <c r="E27" s="242"/>
      <c r="F27" s="241" t="s">
        <v>161</v>
      </c>
      <c r="G27" s="243"/>
      <c r="K27" s="31"/>
      <c r="L27" s="31"/>
      <c r="M27" s="31"/>
      <c r="N27" s="31"/>
    </row>
    <row r="28" spans="1:14" s="30" customFormat="1" ht="26.25" customHeight="1">
      <c r="A28" s="31"/>
      <c r="B28" s="239" t="s">
        <v>126</v>
      </c>
      <c r="C28" s="240"/>
      <c r="D28" s="241" t="s">
        <v>144</v>
      </c>
      <c r="E28" s="242"/>
      <c r="F28" s="241" t="s">
        <v>164</v>
      </c>
      <c r="G28" s="243"/>
      <c r="K28" s="31"/>
      <c r="L28" s="31"/>
      <c r="M28" s="31"/>
      <c r="N28" s="31"/>
    </row>
    <row r="29" spans="1:14" s="30" customFormat="1" ht="26.25" customHeight="1">
      <c r="A29" s="31"/>
      <c r="B29" s="239" t="s">
        <v>129</v>
      </c>
      <c r="C29" s="244"/>
      <c r="D29" s="241" t="s">
        <v>147</v>
      </c>
      <c r="E29" s="242"/>
      <c r="F29" s="241" t="s">
        <v>167</v>
      </c>
      <c r="G29" s="243"/>
      <c r="K29" s="31"/>
      <c r="L29" s="31"/>
      <c r="M29" s="31"/>
      <c r="N29" s="31"/>
    </row>
    <row r="30" spans="1:14" s="30" customFormat="1" ht="26.25" customHeight="1">
      <c r="A30" s="31"/>
      <c r="B30" s="234" t="s">
        <v>132</v>
      </c>
      <c r="C30" s="235"/>
      <c r="D30" s="236" t="s">
        <v>149</v>
      </c>
      <c r="E30" s="237"/>
      <c r="F30" s="236" t="s">
        <v>170</v>
      </c>
      <c r="G30" s="238"/>
      <c r="K30" s="31"/>
      <c r="L30" s="31"/>
      <c r="M30" s="31"/>
      <c r="N30" s="31"/>
    </row>
    <row r="31" spans="1:14" s="30" customFormat="1" ht="26.25" customHeight="1" thickBot="1">
      <c r="A31" s="31"/>
      <c r="B31" s="219"/>
      <c r="C31" s="220"/>
      <c r="D31" s="221" t="s">
        <v>152</v>
      </c>
      <c r="E31" s="222"/>
      <c r="F31" s="223"/>
      <c r="G31" s="224"/>
      <c r="K31" s="31"/>
      <c r="L31" s="31"/>
      <c r="M31" s="31"/>
      <c r="N31" s="31"/>
    </row>
    <row r="32" spans="1:14" s="30" customFormat="1" ht="26.25" customHeight="1" thickBot="1">
      <c r="A32" s="31"/>
      <c r="B32" s="37"/>
      <c r="C32" s="32"/>
      <c r="D32" s="23"/>
      <c r="E32" s="2"/>
      <c r="F32" s="37"/>
      <c r="G32" s="32"/>
      <c r="K32" s="31"/>
      <c r="L32" s="31"/>
      <c r="M32" s="31"/>
      <c r="N32" s="31"/>
    </row>
    <row r="33" spans="1:14" s="30" customFormat="1" ht="26.25" customHeight="1" thickBot="1">
      <c r="A33" s="31"/>
      <c r="B33" s="225" t="s">
        <v>22</v>
      </c>
      <c r="C33" s="226"/>
      <c r="D33" s="227"/>
      <c r="E33" s="227"/>
      <c r="F33" s="227"/>
      <c r="G33" s="228"/>
      <c r="K33" s="31"/>
      <c r="L33" s="31"/>
      <c r="M33" s="31"/>
      <c r="N33" s="31"/>
    </row>
    <row r="34" spans="1:14" s="30" customFormat="1" ht="26.25" customHeight="1">
      <c r="A34" s="31"/>
      <c r="B34" s="229" t="s">
        <v>373</v>
      </c>
      <c r="C34" s="230"/>
      <c r="D34" s="230" t="s">
        <v>374</v>
      </c>
      <c r="E34" s="231"/>
      <c r="F34" s="232" t="s">
        <v>183</v>
      </c>
      <c r="G34" s="233"/>
      <c r="K34" s="31"/>
      <c r="L34" s="31"/>
      <c r="M34" s="31"/>
      <c r="N34" s="31"/>
    </row>
    <row r="35" spans="1:14" s="30" customFormat="1" ht="26.25" customHeight="1" thickBot="1">
      <c r="A35" s="31"/>
      <c r="B35" s="219"/>
      <c r="C35" s="220"/>
      <c r="D35" s="221" t="s">
        <v>375</v>
      </c>
      <c r="E35" s="222"/>
      <c r="F35" s="223"/>
      <c r="G35" s="224"/>
      <c r="K35" s="31"/>
      <c r="L35" s="31"/>
      <c r="M35" s="31"/>
      <c r="N35" s="31"/>
    </row>
    <row r="36" spans="1:14" s="30" customFormat="1" ht="26.25" customHeight="1">
      <c r="A36" s="31"/>
      <c r="B36" s="37"/>
      <c r="C36" s="32"/>
      <c r="D36" s="23"/>
      <c r="E36" s="2"/>
      <c r="F36" s="37"/>
      <c r="G36" s="32"/>
      <c r="K36" s="31"/>
      <c r="L36" s="31"/>
      <c r="M36" s="31"/>
      <c r="N36" s="31"/>
    </row>
    <row r="37" spans="1:14" s="30" customFormat="1" ht="26.25" customHeight="1">
      <c r="A37" s="31"/>
      <c r="B37" s="32" t="s">
        <v>111</v>
      </c>
      <c r="C37" s="32"/>
      <c r="D37" s="32"/>
      <c r="E37" s="33"/>
      <c r="F37" s="28"/>
      <c r="G37" s="28"/>
      <c r="K37" s="31"/>
      <c r="L37" s="31"/>
      <c r="M37" s="31"/>
      <c r="N37" s="31"/>
    </row>
    <row r="38" spans="1:14" s="30" customFormat="1" ht="26.25" customHeight="1">
      <c r="A38" s="31"/>
      <c r="B38" s="32" t="s">
        <v>112</v>
      </c>
      <c r="C38" s="32"/>
      <c r="D38" s="32"/>
      <c r="E38" s="33"/>
      <c r="F38" s="28"/>
      <c r="G38" s="28"/>
      <c r="K38" s="31"/>
      <c r="L38" s="31"/>
      <c r="M38" s="31"/>
      <c r="N38" s="31"/>
    </row>
    <row r="39" spans="1:14" s="30" customFormat="1" ht="26.25" customHeight="1">
      <c r="A39" s="31"/>
      <c r="B39" s="32"/>
      <c r="C39" s="32"/>
      <c r="D39" s="32"/>
      <c r="E39" s="33"/>
      <c r="F39" s="28"/>
      <c r="G39" s="28"/>
      <c r="K39" s="31"/>
      <c r="L39" s="31"/>
      <c r="M39" s="31"/>
      <c r="N39" s="31"/>
    </row>
    <row r="40" spans="1:14" s="30" customFormat="1" ht="26.25" customHeight="1">
      <c r="A40" s="31"/>
      <c r="B40" s="32"/>
      <c r="C40" s="32"/>
      <c r="D40" s="32"/>
      <c r="E40" s="33"/>
      <c r="F40" s="28"/>
      <c r="G40" s="28"/>
      <c r="K40" s="31"/>
      <c r="L40" s="31"/>
      <c r="M40" s="31"/>
      <c r="N40" s="31"/>
    </row>
    <row r="41" spans="1:14" s="30" customFormat="1" ht="26.25" customHeight="1">
      <c r="A41" s="31"/>
      <c r="B41" s="32"/>
      <c r="C41" s="32"/>
      <c r="D41" s="32"/>
      <c r="E41" s="33"/>
      <c r="F41" s="28"/>
      <c r="G41" s="28"/>
      <c r="K41" s="31"/>
      <c r="L41" s="31"/>
      <c r="M41" s="31"/>
      <c r="N41" s="31"/>
    </row>
    <row r="42" spans="1:14" s="30" customFormat="1" ht="26.25" customHeight="1">
      <c r="A42" s="31"/>
      <c r="B42" s="32"/>
      <c r="C42" s="32"/>
      <c r="D42" s="32"/>
      <c r="E42" s="33"/>
      <c r="F42" s="28"/>
      <c r="G42" s="28"/>
      <c r="K42" s="31"/>
      <c r="L42" s="31"/>
      <c r="M42" s="31"/>
      <c r="N42" s="31"/>
    </row>
    <row r="43" spans="1:14" s="30" customFormat="1" ht="26.25" customHeight="1">
      <c r="A43" s="31"/>
      <c r="B43" s="32"/>
      <c r="C43" s="32"/>
      <c r="D43" s="32"/>
      <c r="E43" s="33"/>
      <c r="F43" s="28"/>
      <c r="G43" s="28"/>
      <c r="K43" s="31"/>
      <c r="L43" s="31"/>
      <c r="M43" s="31"/>
      <c r="N43" s="31"/>
    </row>
    <row r="44" spans="1:14" s="30" customFormat="1" ht="26.25" customHeight="1">
      <c r="A44" s="31"/>
      <c r="B44" s="32"/>
      <c r="C44" s="32"/>
      <c r="D44" s="32"/>
      <c r="E44" s="33"/>
      <c r="F44" s="28"/>
      <c r="G44" s="28"/>
      <c r="K44" s="31"/>
      <c r="L44" s="31"/>
      <c r="M44" s="31"/>
      <c r="N44" s="31"/>
    </row>
    <row r="45" spans="1:14" ht="26.25" customHeight="1">
      <c r="B45" s="37"/>
      <c r="C45" s="32"/>
      <c r="D45"/>
      <c r="E45"/>
      <c r="F45"/>
      <c r="G45"/>
      <c r="H45" s="31"/>
    </row>
    <row r="46" spans="1:14" ht="26.25" customHeight="1">
      <c r="B46" s="37"/>
      <c r="C46" s="32"/>
      <c r="H46" s="35" t="s">
        <v>184</v>
      </c>
    </row>
  </sheetData>
  <sortState xmlns:xlrd2="http://schemas.microsoft.com/office/spreadsheetml/2017/richdata2" ref="F17:G22">
    <sortCondition ref="F16"/>
  </sortState>
  <mergeCells count="82"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19:C19"/>
    <mergeCell ref="D19:E19"/>
    <mergeCell ref="F19:G19"/>
    <mergeCell ref="B17:C17"/>
    <mergeCell ref="D17:E17"/>
    <mergeCell ref="F17:G17"/>
    <mergeCell ref="B7:C7"/>
    <mergeCell ref="D7:E7"/>
    <mergeCell ref="F7:G7"/>
    <mergeCell ref="B18:C18"/>
    <mergeCell ref="D18:E18"/>
    <mergeCell ref="F18:G18"/>
    <mergeCell ref="B16:C16"/>
    <mergeCell ref="D16:E16"/>
    <mergeCell ref="F16:G16"/>
    <mergeCell ref="F11:G11"/>
    <mergeCell ref="B8:C8"/>
    <mergeCell ref="D8:E8"/>
    <mergeCell ref="F8:G8"/>
    <mergeCell ref="B9:C9"/>
    <mergeCell ref="D9:E9"/>
    <mergeCell ref="F9:G9"/>
    <mergeCell ref="B3:G3"/>
    <mergeCell ref="B15:G15"/>
    <mergeCell ref="B20:C20"/>
    <mergeCell ref="D20:E20"/>
    <mergeCell ref="F20:G20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B21:C21"/>
    <mergeCell ref="D21:E21"/>
    <mergeCell ref="F21:G21"/>
    <mergeCell ref="B22:C22"/>
    <mergeCell ref="D22:E22"/>
    <mergeCell ref="F22:G22"/>
    <mergeCell ref="B24:G24"/>
    <mergeCell ref="B25:C25"/>
    <mergeCell ref="D25:E25"/>
    <mergeCell ref="F25:G25"/>
    <mergeCell ref="B26:C26"/>
    <mergeCell ref="D26:E26"/>
    <mergeCell ref="F26:G26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5:C35"/>
    <mergeCell ref="D35:E35"/>
    <mergeCell ref="F35:G35"/>
    <mergeCell ref="B31:C31"/>
    <mergeCell ref="D31:E31"/>
    <mergeCell ref="F31:G31"/>
    <mergeCell ref="B33:G33"/>
    <mergeCell ref="B34:C34"/>
    <mergeCell ref="D34:E34"/>
    <mergeCell ref="F34:G34"/>
  </mergeCells>
  <pageMargins left="0.70866141732283472" right="0.31496062992125984" top="0.55118110236220474" bottom="0.35433070866141736" header="0.31496062992125984" footer="0.31496062992125984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CCA41-CB7C-420D-A555-EA2C1649E492}">
  <sheetPr>
    <pageSetUpPr fitToPage="1"/>
  </sheetPr>
  <dimension ref="A1:P46"/>
  <sheetViews>
    <sheetView view="pageBreakPreview" topLeftCell="A43" zoomScale="125" zoomScaleNormal="100" zoomScaleSheetLayoutView="125" workbookViewId="0">
      <selection activeCell="B27" sqref="B27:G27"/>
    </sheetView>
  </sheetViews>
  <sheetFormatPr baseColWidth="10" defaultColWidth="9.1640625" defaultRowHeight="26.25" customHeight="1"/>
  <cols>
    <col min="1" max="1" width="1.6640625" style="31" customWidth="1"/>
    <col min="2" max="7" width="22.6640625" style="31" customWidth="1"/>
    <col min="8" max="8" width="1.6640625" style="30" customWidth="1"/>
    <col min="9" max="12" width="25.6640625" style="30" customWidth="1"/>
    <col min="13" max="17" width="25.6640625" style="31" customWidth="1"/>
    <col min="18" max="16384" width="9.1640625" style="31"/>
  </cols>
  <sheetData>
    <row r="1" spans="1:16" s="30" customFormat="1" ht="26.25" customHeight="1" thickBot="1">
      <c r="A1" s="26"/>
      <c r="B1" s="27" t="s">
        <v>185</v>
      </c>
      <c r="C1" s="34"/>
      <c r="D1" s="29"/>
      <c r="E1" s="29"/>
      <c r="F1" s="29"/>
      <c r="G1" s="29"/>
      <c r="K1" s="26"/>
      <c r="L1" s="26"/>
      <c r="M1" s="26"/>
      <c r="N1" s="26"/>
    </row>
    <row r="2" spans="1:16" s="30" customFormat="1" ht="26.25" customHeight="1">
      <c r="A2" s="31"/>
      <c r="B2" s="256" t="s">
        <v>186</v>
      </c>
      <c r="C2" s="257"/>
      <c r="D2" s="258" t="s">
        <v>187</v>
      </c>
      <c r="E2" s="257"/>
      <c r="F2" s="258" t="s">
        <v>188</v>
      </c>
      <c r="G2" s="259"/>
      <c r="K2" s="31"/>
      <c r="L2" s="31"/>
      <c r="M2" s="31"/>
      <c r="N2" s="31"/>
    </row>
    <row r="3" spans="1:16" s="30" customFormat="1" ht="26.25" customHeight="1" thickBot="1">
      <c r="A3" s="31"/>
      <c r="B3" s="260" t="s">
        <v>189</v>
      </c>
      <c r="C3" s="261"/>
      <c r="D3" s="262" t="s">
        <v>190</v>
      </c>
      <c r="E3" s="261"/>
      <c r="F3" s="262" t="s">
        <v>191</v>
      </c>
      <c r="G3" s="263"/>
      <c r="K3" s="31"/>
      <c r="L3" s="31"/>
      <c r="M3" s="31"/>
      <c r="N3" s="31"/>
    </row>
    <row r="4" spans="1:16" s="30" customFormat="1" ht="26.25" customHeight="1">
      <c r="A4" s="31"/>
      <c r="B4" s="26"/>
      <c r="C4" s="137"/>
      <c r="D4" s="26"/>
      <c r="E4" s="137"/>
      <c r="F4" s="26"/>
      <c r="G4" s="137"/>
      <c r="K4" s="31"/>
      <c r="L4" s="31"/>
      <c r="M4" s="31"/>
      <c r="N4" s="31"/>
    </row>
    <row r="5" spans="1:16" s="30" customFormat="1" ht="26.25" customHeight="1" thickBot="1">
      <c r="A5" s="31"/>
      <c r="B5" s="27" t="s">
        <v>192</v>
      </c>
      <c r="C5" s="28"/>
      <c r="D5" s="28"/>
      <c r="E5" s="29"/>
      <c r="F5" s="29"/>
      <c r="G5" s="29"/>
      <c r="M5" s="31"/>
      <c r="N5" s="31"/>
      <c r="O5" s="31"/>
      <c r="P5" s="31"/>
    </row>
    <row r="6" spans="1:16" s="7" customFormat="1" ht="26.25" customHeight="1" thickBot="1">
      <c r="A6" s="1"/>
      <c r="B6" s="268" t="s">
        <v>193</v>
      </c>
      <c r="C6" s="269"/>
      <c r="D6" s="270" t="s">
        <v>194</v>
      </c>
      <c r="E6" s="269"/>
      <c r="F6" s="270" t="s">
        <v>195</v>
      </c>
      <c r="G6" s="271"/>
      <c r="M6" s="1"/>
      <c r="N6" s="1"/>
      <c r="O6" s="1"/>
      <c r="P6" s="1"/>
    </row>
    <row r="7" spans="1:16" s="30" customFormat="1" ht="26.25" customHeight="1">
      <c r="A7" s="31"/>
      <c r="B7" s="276" t="s">
        <v>363</v>
      </c>
      <c r="C7" s="277"/>
      <c r="D7" s="278" t="s">
        <v>197</v>
      </c>
      <c r="E7" s="279"/>
      <c r="F7" s="279" t="s">
        <v>198</v>
      </c>
      <c r="G7" s="280"/>
      <c r="M7" s="31"/>
      <c r="N7" s="31"/>
      <c r="O7" s="31"/>
      <c r="P7" s="31"/>
    </row>
    <row r="8" spans="1:16" ht="26.25" customHeight="1">
      <c r="B8" s="264" t="s">
        <v>196</v>
      </c>
      <c r="C8" s="265"/>
      <c r="D8" s="236" t="s">
        <v>200</v>
      </c>
      <c r="E8" s="236"/>
      <c r="F8" s="237" t="s">
        <v>201</v>
      </c>
      <c r="G8" s="238"/>
    </row>
    <row r="9" spans="1:16" s="30" customFormat="1" ht="26.25" customHeight="1">
      <c r="A9" s="31"/>
      <c r="B9" s="264" t="s">
        <v>199</v>
      </c>
      <c r="C9" s="265"/>
      <c r="D9" s="236" t="s">
        <v>203</v>
      </c>
      <c r="E9" s="236"/>
      <c r="F9" s="237" t="s">
        <v>362</v>
      </c>
      <c r="G9" s="238"/>
      <c r="M9" s="31"/>
      <c r="N9" s="31"/>
      <c r="O9" s="31"/>
      <c r="P9" s="31"/>
    </row>
    <row r="10" spans="1:16" s="30" customFormat="1" ht="26.25" customHeight="1">
      <c r="A10" s="31"/>
      <c r="B10" s="264" t="s">
        <v>202</v>
      </c>
      <c r="C10" s="265"/>
      <c r="D10" s="236" t="s">
        <v>206</v>
      </c>
      <c r="E10" s="236"/>
      <c r="F10" s="237" t="s">
        <v>204</v>
      </c>
      <c r="G10" s="238"/>
      <c r="M10" s="31"/>
      <c r="N10" s="31"/>
      <c r="O10" s="31"/>
      <c r="P10" s="31"/>
    </row>
    <row r="11" spans="1:16" s="30" customFormat="1" ht="26.25" customHeight="1">
      <c r="A11" s="31"/>
      <c r="B11" s="266" t="s">
        <v>205</v>
      </c>
      <c r="C11" s="267"/>
      <c r="D11" s="236" t="s">
        <v>209</v>
      </c>
      <c r="E11" s="237"/>
      <c r="F11" s="274" t="s">
        <v>207</v>
      </c>
      <c r="G11" s="275"/>
      <c r="M11" s="31"/>
      <c r="N11" s="31"/>
      <c r="O11" s="31"/>
      <c r="P11" s="31"/>
    </row>
    <row r="12" spans="1:16" s="30" customFormat="1" ht="26.25" customHeight="1">
      <c r="A12" s="31"/>
      <c r="B12" s="264" t="s">
        <v>208</v>
      </c>
      <c r="C12" s="265"/>
      <c r="D12" s="236" t="s">
        <v>212</v>
      </c>
      <c r="E12" s="236"/>
      <c r="F12" s="237" t="s">
        <v>210</v>
      </c>
      <c r="G12" s="238"/>
      <c r="M12" s="31"/>
      <c r="N12" s="31"/>
      <c r="O12" s="31"/>
      <c r="P12" s="31"/>
    </row>
    <row r="13" spans="1:16" s="30" customFormat="1" ht="26.25" customHeight="1">
      <c r="A13" s="31"/>
      <c r="B13" s="264" t="s">
        <v>211</v>
      </c>
      <c r="C13" s="265"/>
      <c r="D13" s="236" t="s">
        <v>215</v>
      </c>
      <c r="E13" s="237"/>
      <c r="F13" s="274" t="s">
        <v>213</v>
      </c>
      <c r="G13" s="275"/>
      <c r="M13" s="31"/>
      <c r="N13" s="31"/>
      <c r="O13" s="31"/>
      <c r="P13" s="31"/>
    </row>
    <row r="14" spans="1:16" s="30" customFormat="1" ht="26.25" customHeight="1">
      <c r="A14" s="31"/>
      <c r="B14" s="264" t="s">
        <v>214</v>
      </c>
      <c r="C14" s="265"/>
      <c r="D14" s="236" t="s">
        <v>217</v>
      </c>
      <c r="E14" s="237"/>
      <c r="F14" s="237" t="s">
        <v>216</v>
      </c>
      <c r="G14" s="238"/>
      <c r="M14" s="31"/>
      <c r="N14" s="31"/>
      <c r="O14" s="31"/>
      <c r="P14" s="31"/>
    </row>
    <row r="15" spans="1:16" s="30" customFormat="1" ht="26.25" customHeight="1">
      <c r="A15" s="31"/>
      <c r="B15" s="264"/>
      <c r="C15" s="265"/>
      <c r="D15" s="120" t="s">
        <v>219</v>
      </c>
      <c r="E15" s="120"/>
      <c r="F15" s="237" t="s">
        <v>218</v>
      </c>
      <c r="G15" s="238"/>
      <c r="M15" s="31"/>
      <c r="N15" s="31"/>
      <c r="O15" s="31"/>
      <c r="P15" s="31"/>
    </row>
    <row r="16" spans="1:16" s="30" customFormat="1" ht="26.25" customHeight="1">
      <c r="A16" s="31"/>
      <c r="B16" s="272"/>
      <c r="C16" s="273"/>
      <c r="D16" s="236" t="s">
        <v>221</v>
      </c>
      <c r="E16" s="236"/>
      <c r="F16" s="274" t="s">
        <v>220</v>
      </c>
      <c r="G16" s="275"/>
      <c r="M16" s="31"/>
      <c r="N16" s="31"/>
      <c r="O16" s="31"/>
      <c r="P16" s="31"/>
    </row>
    <row r="17" spans="1:16" s="30" customFormat="1" ht="26.25" customHeight="1">
      <c r="A17" s="31"/>
      <c r="B17" s="264"/>
      <c r="C17" s="265"/>
      <c r="D17" s="236" t="s">
        <v>223</v>
      </c>
      <c r="E17" s="237"/>
      <c r="F17" s="237" t="s">
        <v>222</v>
      </c>
      <c r="G17" s="238"/>
      <c r="M17" s="31"/>
      <c r="N17" s="31"/>
      <c r="O17" s="31"/>
      <c r="P17" s="31"/>
    </row>
    <row r="18" spans="1:16" s="30" customFormat="1" ht="26.25" customHeight="1">
      <c r="A18" s="31"/>
      <c r="B18" s="282"/>
      <c r="C18" s="283"/>
      <c r="D18" s="236" t="s">
        <v>225</v>
      </c>
      <c r="E18" s="237"/>
      <c r="F18" s="237" t="s">
        <v>224</v>
      </c>
      <c r="G18" s="238"/>
      <c r="M18" s="31"/>
      <c r="N18" s="31"/>
      <c r="O18" s="31"/>
      <c r="P18" s="31"/>
    </row>
    <row r="19" spans="1:16" s="30" customFormat="1" ht="26.25" customHeight="1">
      <c r="A19" s="31"/>
      <c r="B19" s="282"/>
      <c r="C19" s="283"/>
      <c r="D19" s="236" t="s">
        <v>227</v>
      </c>
      <c r="E19" s="237"/>
      <c r="F19" s="237" t="s">
        <v>226</v>
      </c>
      <c r="G19" s="238"/>
      <c r="M19" s="31"/>
      <c r="N19" s="31"/>
      <c r="O19" s="31"/>
      <c r="P19" s="31"/>
    </row>
    <row r="20" spans="1:16" s="30" customFormat="1" ht="26.25" customHeight="1">
      <c r="A20" s="31"/>
      <c r="B20" s="282"/>
      <c r="C20" s="283"/>
      <c r="D20" s="236" t="s">
        <v>228</v>
      </c>
      <c r="E20" s="237"/>
      <c r="F20" s="237"/>
      <c r="G20" s="238"/>
      <c r="M20" s="31"/>
      <c r="N20" s="31"/>
      <c r="O20" s="31"/>
      <c r="P20" s="31"/>
    </row>
    <row r="21" spans="1:16" s="30" customFormat="1" ht="26.25" customHeight="1">
      <c r="A21" s="31"/>
      <c r="B21" s="282"/>
      <c r="C21" s="283"/>
      <c r="D21" s="237" t="s">
        <v>229</v>
      </c>
      <c r="E21" s="237"/>
      <c r="F21" s="237"/>
      <c r="G21" s="238"/>
      <c r="M21" s="31"/>
      <c r="N21" s="31"/>
      <c r="O21" s="31"/>
      <c r="P21" s="31"/>
    </row>
    <row r="22" spans="1:16" s="30" customFormat="1" ht="26.25" customHeight="1">
      <c r="A22" s="31"/>
      <c r="B22" s="282"/>
      <c r="C22" s="283"/>
      <c r="D22" s="236" t="s">
        <v>230</v>
      </c>
      <c r="E22" s="237"/>
      <c r="F22" s="237"/>
      <c r="G22" s="238"/>
      <c r="M22" s="31"/>
      <c r="N22" s="31"/>
      <c r="O22" s="31"/>
      <c r="P22" s="31"/>
    </row>
    <row r="23" spans="1:16" s="30" customFormat="1" ht="26.25" customHeight="1">
      <c r="A23" s="31"/>
      <c r="B23" s="282"/>
      <c r="C23" s="283"/>
      <c r="D23" s="292" t="s">
        <v>406</v>
      </c>
      <c r="E23" s="293"/>
      <c r="F23" s="237"/>
      <c r="G23" s="238"/>
      <c r="M23" s="31"/>
      <c r="N23" s="31"/>
      <c r="O23" s="31"/>
      <c r="P23" s="31"/>
    </row>
    <row r="24" spans="1:16" s="30" customFormat="1" ht="26.25" customHeight="1">
      <c r="A24" s="31"/>
      <c r="B24" s="264"/>
      <c r="C24" s="265"/>
      <c r="D24" s="241" t="s">
        <v>231</v>
      </c>
      <c r="E24" s="242"/>
      <c r="F24" s="281"/>
      <c r="G24" s="248"/>
      <c r="M24" s="31"/>
      <c r="N24" s="31"/>
      <c r="O24" s="31"/>
      <c r="P24" s="31"/>
    </row>
    <row r="25" spans="1:16" s="30" customFormat="1" ht="26.25" customHeight="1" thickBot="1">
      <c r="A25" s="31"/>
      <c r="B25" s="290"/>
      <c r="C25" s="291"/>
      <c r="D25" s="223" t="s">
        <v>232</v>
      </c>
      <c r="E25" s="220"/>
      <c r="F25" s="220"/>
      <c r="G25" s="224"/>
      <c r="M25" s="31"/>
      <c r="N25" s="31"/>
      <c r="O25" s="31"/>
      <c r="P25" s="31"/>
    </row>
    <row r="26" spans="1:16" s="30" customFormat="1" ht="26.25" customHeight="1" thickBot="1">
      <c r="A26" s="31"/>
      <c r="B26" s="99"/>
      <c r="C26" s="100"/>
      <c r="D26" s="37"/>
      <c r="E26" s="32"/>
      <c r="F26" s="32"/>
      <c r="G26" s="32"/>
      <c r="M26" s="31"/>
      <c r="N26" s="31"/>
      <c r="O26" s="31"/>
      <c r="P26" s="31"/>
    </row>
    <row r="27" spans="1:16" s="30" customFormat="1" ht="26.25" customHeight="1" thickBot="1">
      <c r="A27" s="31"/>
      <c r="B27" s="287" t="s">
        <v>233</v>
      </c>
      <c r="C27" s="288"/>
      <c r="D27" s="288"/>
      <c r="E27" s="288"/>
      <c r="F27" s="288"/>
      <c r="G27" s="289"/>
      <c r="M27" s="31"/>
      <c r="N27" s="31"/>
      <c r="O27" s="31"/>
      <c r="P27" s="31"/>
    </row>
    <row r="28" spans="1:16" s="30" customFormat="1" ht="26.25" customHeight="1" thickBot="1">
      <c r="A28" s="31"/>
      <c r="B28" s="284" t="s">
        <v>234</v>
      </c>
      <c r="C28" s="285"/>
      <c r="D28" s="285"/>
      <c r="E28" s="285"/>
      <c r="F28" s="285"/>
      <c r="G28" s="286"/>
      <c r="M28" s="31"/>
      <c r="N28" s="31"/>
      <c r="O28" s="31"/>
      <c r="P28" s="31"/>
    </row>
    <row r="29" spans="1:16" s="30" customFormat="1" ht="26.25" customHeight="1">
      <c r="A29" s="31"/>
      <c r="B29" s="32" t="s">
        <v>235</v>
      </c>
      <c r="C29" s="28"/>
      <c r="D29" s="28"/>
      <c r="E29" s="29"/>
      <c r="F29" s="29"/>
      <c r="G29" s="29"/>
      <c r="M29" s="31"/>
      <c r="N29" s="31"/>
      <c r="O29" s="31"/>
      <c r="P29" s="31"/>
    </row>
    <row r="30" spans="1:16" s="30" customFormat="1" ht="26.25" customHeight="1">
      <c r="A30" s="31"/>
      <c r="B30" s="32" t="s">
        <v>236</v>
      </c>
      <c r="C30" s="28"/>
      <c r="D30" s="28"/>
      <c r="E30" s="29"/>
      <c r="F30" s="29"/>
      <c r="G30" s="29"/>
      <c r="M30" s="31"/>
      <c r="N30" s="31"/>
      <c r="O30" s="31"/>
      <c r="P30" s="31"/>
    </row>
    <row r="31" spans="1:16" s="30" customFormat="1" ht="26.25" customHeight="1">
      <c r="A31" s="31"/>
      <c r="B31" s="32" t="s">
        <v>237</v>
      </c>
      <c r="C31" s="28"/>
      <c r="D31" s="28"/>
      <c r="E31" s="29"/>
      <c r="F31" s="29"/>
      <c r="G31" s="29"/>
      <c r="M31" s="31"/>
      <c r="N31" s="31"/>
      <c r="O31" s="31"/>
      <c r="P31" s="31"/>
    </row>
    <row r="32" spans="1:16" s="30" customFormat="1" ht="26.25" customHeight="1">
      <c r="A32" s="31"/>
      <c r="B32" s="32"/>
      <c r="C32" s="28"/>
      <c r="D32" s="28"/>
      <c r="E32" s="29"/>
      <c r="F32" s="29"/>
      <c r="G32" s="29"/>
      <c r="M32" s="31"/>
      <c r="N32" s="31"/>
      <c r="O32" s="31"/>
      <c r="P32" s="31"/>
    </row>
    <row r="33" spans="1:16" s="30" customFormat="1" ht="26.25" customHeight="1">
      <c r="A33" s="31"/>
      <c r="B33" s="40" t="s">
        <v>238</v>
      </c>
      <c r="C33" s="41"/>
      <c r="D33" s="28"/>
      <c r="E33" s="29"/>
      <c r="F33" s="32"/>
      <c r="G33" s="29"/>
      <c r="M33" s="31"/>
      <c r="N33" s="31"/>
      <c r="O33" s="31"/>
      <c r="P33" s="31"/>
    </row>
    <row r="34" spans="1:16" s="30" customFormat="1" ht="26.25" customHeight="1">
      <c r="A34" s="31"/>
      <c r="C34" s="42" t="s">
        <v>239</v>
      </c>
      <c r="D34" s="43"/>
      <c r="E34" s="44"/>
      <c r="F34" s="45"/>
      <c r="G34" s="45"/>
      <c r="M34" s="31"/>
      <c r="N34" s="31"/>
      <c r="O34" s="31"/>
      <c r="P34" s="31"/>
    </row>
    <row r="35" spans="1:16" s="30" customFormat="1" ht="26.25" customHeight="1" thickBot="1">
      <c r="A35" s="31"/>
      <c r="C35" s="42"/>
      <c r="D35" s="296" t="s">
        <v>240</v>
      </c>
      <c r="E35" s="297"/>
      <c r="F35" s="45"/>
      <c r="G35" s="45"/>
      <c r="M35" s="31"/>
      <c r="N35" s="31"/>
      <c r="O35" s="31"/>
      <c r="P35" s="31"/>
    </row>
    <row r="36" spans="1:16" s="30" customFormat="1" ht="26.25" customHeight="1" thickBot="1">
      <c r="A36" s="31"/>
      <c r="B36" s="298" t="s">
        <v>241</v>
      </c>
      <c r="C36" s="299"/>
      <c r="D36" s="46" t="s">
        <v>242</v>
      </c>
      <c r="E36" s="47" t="s">
        <v>243</v>
      </c>
      <c r="F36" s="121" t="s">
        <v>244</v>
      </c>
      <c r="G36" s="48" t="s">
        <v>245</v>
      </c>
      <c r="M36" s="31"/>
      <c r="N36" s="31"/>
      <c r="O36" s="31"/>
      <c r="P36" s="31"/>
    </row>
    <row r="37" spans="1:16" s="30" customFormat="1" ht="26.25" customHeight="1" thickBot="1">
      <c r="A37" s="31"/>
      <c r="B37" s="294" t="s">
        <v>246</v>
      </c>
      <c r="C37" s="295"/>
      <c r="D37" s="49">
        <f>Стандарт_2*1.5</f>
        <v>6525</v>
      </c>
      <c r="E37" s="50">
        <f>Стандарт_2*1.5+Патина</f>
        <v>9525</v>
      </c>
      <c r="F37" s="50">
        <f>Престиж_2*1.5</f>
        <v>9525</v>
      </c>
      <c r="G37" s="51">
        <f>Престиж_2*1.5+Патина</f>
        <v>12525</v>
      </c>
      <c r="M37" s="31"/>
      <c r="N37" s="31"/>
      <c r="O37" s="31"/>
      <c r="P37" s="31"/>
    </row>
    <row r="38" spans="1:16" s="30" customFormat="1" ht="26.25" customHeight="1">
      <c r="A38" s="31"/>
      <c r="B38" s="33"/>
      <c r="C38" s="36"/>
      <c r="D38" s="37"/>
      <c r="E38" s="32"/>
      <c r="F38" s="32"/>
      <c r="G38" s="32"/>
      <c r="M38" s="31"/>
      <c r="N38" s="31"/>
      <c r="O38" s="31"/>
      <c r="P38" s="31"/>
    </row>
    <row r="39" spans="1:16" s="30" customFormat="1" ht="26.25" customHeight="1">
      <c r="A39" s="31"/>
      <c r="B39" s="40" t="s">
        <v>247</v>
      </c>
      <c r="C39" s="41"/>
      <c r="D39" s="28"/>
      <c r="E39" s="29"/>
      <c r="F39" s="32"/>
      <c r="G39" s="29"/>
      <c r="M39" s="31"/>
      <c r="N39" s="31"/>
      <c r="O39" s="31"/>
      <c r="P39" s="31"/>
    </row>
    <row r="40" spans="1:16" s="30" customFormat="1" ht="26.25" customHeight="1">
      <c r="A40" s="31"/>
      <c r="C40" s="42" t="s">
        <v>239</v>
      </c>
      <c r="D40" s="43"/>
      <c r="E40" s="44"/>
      <c r="F40" s="45"/>
      <c r="G40" s="45"/>
      <c r="M40" s="31"/>
      <c r="N40" s="31"/>
      <c r="O40" s="31"/>
      <c r="P40" s="31"/>
    </row>
    <row r="41" spans="1:16" s="30" customFormat="1" ht="26.25" customHeight="1" thickBot="1">
      <c r="A41" s="31"/>
      <c r="C41" s="42"/>
      <c r="D41" s="296" t="s">
        <v>240</v>
      </c>
      <c r="E41" s="297"/>
      <c r="F41" s="45"/>
      <c r="G41" s="45"/>
      <c r="M41" s="31"/>
      <c r="N41" s="31"/>
      <c r="O41" s="31"/>
      <c r="P41" s="31"/>
    </row>
    <row r="42" spans="1:16" s="30" customFormat="1" ht="26.25" customHeight="1" thickBot="1">
      <c r="A42" s="31"/>
      <c r="B42" s="298" t="s">
        <v>241</v>
      </c>
      <c r="C42" s="299"/>
      <c r="D42" s="46" t="s">
        <v>242</v>
      </c>
      <c r="E42" s="47" t="s">
        <v>243</v>
      </c>
      <c r="F42" s="121" t="s">
        <v>244</v>
      </c>
      <c r="G42" s="48" t="s">
        <v>245</v>
      </c>
      <c r="M42" s="31"/>
      <c r="N42" s="31"/>
      <c r="O42" s="31"/>
      <c r="P42" s="31"/>
    </row>
    <row r="43" spans="1:16" s="30" customFormat="1" ht="26.25" customHeight="1" thickBot="1">
      <c r="A43" s="31"/>
      <c r="B43" s="294" t="s">
        <v>248</v>
      </c>
      <c r="C43" s="295"/>
      <c r="D43" s="49">
        <f>(Стандарт_2+Сложная_фрезеровка)*1.5</f>
        <v>8025</v>
      </c>
      <c r="E43" s="50">
        <f>(Стандарт_2+Сложная_фрезеровка)*1.5+Патина</f>
        <v>11025</v>
      </c>
      <c r="F43" s="50">
        <f>(Престиж_2+Сложная_фрезеровка)*1.5</f>
        <v>11025</v>
      </c>
      <c r="G43" s="51">
        <f>(Престиж_2+Сложная_фрезеровка)*1.5+Патина</f>
        <v>14025</v>
      </c>
      <c r="M43" s="31"/>
      <c r="N43" s="31"/>
      <c r="O43" s="31"/>
      <c r="P43" s="31"/>
    </row>
    <row r="44" spans="1:16" s="30" customFormat="1" ht="26.25" customHeight="1">
      <c r="A44" s="31"/>
      <c r="B44" s="36"/>
      <c r="C44" s="36"/>
      <c r="D44" s="29"/>
      <c r="E44" s="29"/>
      <c r="F44" s="29"/>
      <c r="G44" s="29"/>
      <c r="M44" s="31"/>
      <c r="N44" s="31"/>
      <c r="O44" s="31"/>
      <c r="P44" s="31"/>
    </row>
    <row r="45" spans="1:16" s="30" customFormat="1" ht="26.25" customHeight="1">
      <c r="A45" s="31"/>
      <c r="B45" s="42" t="s">
        <v>249</v>
      </c>
      <c r="C45" s="36"/>
      <c r="D45" s="29"/>
      <c r="E45" s="29"/>
      <c r="F45" s="29"/>
      <c r="G45" s="29"/>
      <c r="M45" s="31"/>
      <c r="N45" s="31"/>
      <c r="O45" s="31"/>
      <c r="P45" s="31"/>
    </row>
    <row r="46" spans="1:16" ht="26.25" customHeight="1">
      <c r="H46" s="35" t="s">
        <v>250</v>
      </c>
    </row>
  </sheetData>
  <sortState xmlns:xlrd2="http://schemas.microsoft.com/office/spreadsheetml/2017/richdata2" ref="B7:C15">
    <sortCondition ref="B7:B15"/>
  </sortState>
  <mergeCells count="73">
    <mergeCell ref="B21:C21"/>
    <mergeCell ref="B17:C17"/>
    <mergeCell ref="D17:E17"/>
    <mergeCell ref="F17:G17"/>
    <mergeCell ref="F13:G13"/>
    <mergeCell ref="B18:C18"/>
    <mergeCell ref="D18:E18"/>
    <mergeCell ref="F18:G18"/>
    <mergeCell ref="B14:C14"/>
    <mergeCell ref="B43:C43"/>
    <mergeCell ref="D35:E35"/>
    <mergeCell ref="B36:C36"/>
    <mergeCell ref="B37:C37"/>
    <mergeCell ref="D41:E41"/>
    <mergeCell ref="B42:C42"/>
    <mergeCell ref="B28:G28"/>
    <mergeCell ref="B22:C22"/>
    <mergeCell ref="D22:E22"/>
    <mergeCell ref="F22:G22"/>
    <mergeCell ref="B27:G27"/>
    <mergeCell ref="B25:C25"/>
    <mergeCell ref="B23:C23"/>
    <mergeCell ref="D23:E23"/>
    <mergeCell ref="F23:G23"/>
    <mergeCell ref="D25:E25"/>
    <mergeCell ref="F12:G12"/>
    <mergeCell ref="F25:G25"/>
    <mergeCell ref="B7:C7"/>
    <mergeCell ref="D7:E7"/>
    <mergeCell ref="F7:G7"/>
    <mergeCell ref="B24:C24"/>
    <mergeCell ref="D24:E24"/>
    <mergeCell ref="F24:G24"/>
    <mergeCell ref="B19:C19"/>
    <mergeCell ref="D19:E19"/>
    <mergeCell ref="F19:G19"/>
    <mergeCell ref="B20:C20"/>
    <mergeCell ref="D20:E20"/>
    <mergeCell ref="F20:G20"/>
    <mergeCell ref="B13:C13"/>
    <mergeCell ref="D13:E13"/>
    <mergeCell ref="B6:C6"/>
    <mergeCell ref="D6:E6"/>
    <mergeCell ref="F6:G6"/>
    <mergeCell ref="B16:C16"/>
    <mergeCell ref="D16:E16"/>
    <mergeCell ref="F16:G16"/>
    <mergeCell ref="F11:G11"/>
    <mergeCell ref="B8:C8"/>
    <mergeCell ref="D8:E8"/>
    <mergeCell ref="F8:G8"/>
    <mergeCell ref="B9:C9"/>
    <mergeCell ref="D9:E9"/>
    <mergeCell ref="F9:G9"/>
    <mergeCell ref="B12:C12"/>
    <mergeCell ref="D12:E12"/>
    <mergeCell ref="F15:G15"/>
    <mergeCell ref="B2:C2"/>
    <mergeCell ref="D2:E2"/>
    <mergeCell ref="F2:G2"/>
    <mergeCell ref="D21:E21"/>
    <mergeCell ref="F21:G21"/>
    <mergeCell ref="B3:C3"/>
    <mergeCell ref="D3:E3"/>
    <mergeCell ref="F3:G3"/>
    <mergeCell ref="B10:C10"/>
    <mergeCell ref="D10:E10"/>
    <mergeCell ref="F10:G10"/>
    <mergeCell ref="B11:C11"/>
    <mergeCell ref="D11:E11"/>
    <mergeCell ref="D14:E14"/>
    <mergeCell ref="F14:G14"/>
    <mergeCell ref="B15:C15"/>
  </mergeCells>
  <pageMargins left="0.70866141732283472" right="0.31496062992125984" top="0.55118110236220474" bottom="0.35433070866141736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C7C41-450A-4171-B800-CD36BE5333B0}">
  <sheetPr>
    <pageSetUpPr fitToPage="1"/>
  </sheetPr>
  <dimension ref="A1:P46"/>
  <sheetViews>
    <sheetView view="pageBreakPreview" zoomScale="125" zoomScaleNormal="100" zoomScaleSheetLayoutView="125" workbookViewId="0">
      <selection activeCell="F28" sqref="F28:F35"/>
    </sheetView>
  </sheetViews>
  <sheetFormatPr baseColWidth="10" defaultColWidth="9.1640625" defaultRowHeight="26.25" customHeight="1"/>
  <cols>
    <col min="1" max="1" width="1.6640625" style="1" customWidth="1"/>
    <col min="2" max="7" width="22.6640625" style="1" customWidth="1"/>
    <col min="8" max="8" width="1.6640625" style="7" customWidth="1"/>
    <col min="9" max="12" width="25.6640625" style="7" customWidth="1"/>
    <col min="13" max="17" width="25.6640625" style="1" customWidth="1"/>
    <col min="18" max="16384" width="9.1640625" style="1"/>
  </cols>
  <sheetData>
    <row r="1" spans="1:16" s="7" customFormat="1" ht="26.25" customHeight="1">
      <c r="A1" s="1"/>
      <c r="B1" s="135" t="s">
        <v>251</v>
      </c>
      <c r="C1" s="136"/>
      <c r="D1" s="53"/>
      <c r="E1" s="23"/>
      <c r="F1" s="23"/>
      <c r="G1" s="23"/>
      <c r="M1" s="1"/>
      <c r="N1" s="1"/>
      <c r="O1" s="1"/>
      <c r="P1" s="1"/>
    </row>
    <row r="2" spans="1:16" s="7" customFormat="1" ht="26.25" customHeight="1">
      <c r="A2" s="1"/>
      <c r="B2" s="2"/>
      <c r="C2" s="135" t="s">
        <v>252</v>
      </c>
      <c r="D2" s="53"/>
      <c r="E2" s="23"/>
      <c r="F2" s="23"/>
      <c r="G2" s="23"/>
      <c r="M2" s="1"/>
      <c r="N2" s="1"/>
      <c r="O2" s="1"/>
      <c r="P2" s="1"/>
    </row>
    <row r="3" spans="1:16" s="7" customFormat="1" ht="26.25" customHeight="1" thickBot="1">
      <c r="A3" s="1"/>
      <c r="B3" s="2"/>
      <c r="C3" s="136"/>
      <c r="D3" s="23" t="s">
        <v>253</v>
      </c>
      <c r="E3" s="23"/>
      <c r="F3" s="23"/>
      <c r="G3" s="23"/>
      <c r="M3" s="1"/>
      <c r="N3" s="1"/>
      <c r="O3" s="1"/>
      <c r="P3" s="1"/>
    </row>
    <row r="4" spans="1:16" s="7" customFormat="1" ht="26.25" customHeight="1" thickBot="1">
      <c r="A4" s="1"/>
      <c r="B4" s="330" t="s">
        <v>241</v>
      </c>
      <c r="C4" s="331"/>
      <c r="D4" s="54" t="s">
        <v>242</v>
      </c>
      <c r="E4" s="55" t="s">
        <v>243</v>
      </c>
      <c r="F4" s="56" t="s">
        <v>244</v>
      </c>
      <c r="G4" s="57" t="s">
        <v>245</v>
      </c>
      <c r="M4" s="1"/>
      <c r="N4" s="1"/>
      <c r="O4" s="1"/>
      <c r="P4" s="1"/>
    </row>
    <row r="5" spans="1:16" s="7" customFormat="1" ht="26.25" customHeight="1">
      <c r="A5" s="1"/>
      <c r="B5" s="332" t="s">
        <v>254</v>
      </c>
      <c r="C5" s="333"/>
      <c r="D5" s="334">
        <f>Стандарт_2*2</f>
        <v>8700</v>
      </c>
      <c r="E5" s="336">
        <f>Стандарт_2*2+Патина</f>
        <v>11700</v>
      </c>
      <c r="F5" s="336">
        <f>Престиж_2*2</f>
        <v>12700</v>
      </c>
      <c r="G5" s="326">
        <f>Престиж_2*2+Патина</f>
        <v>15700</v>
      </c>
      <c r="M5" s="1"/>
      <c r="N5" s="1"/>
      <c r="O5" s="1"/>
      <c r="P5" s="1"/>
    </row>
    <row r="6" spans="1:16" s="7" customFormat="1" ht="26.25" customHeight="1">
      <c r="A6" s="1"/>
      <c r="B6" s="328" t="s">
        <v>255</v>
      </c>
      <c r="C6" s="329"/>
      <c r="D6" s="335"/>
      <c r="E6" s="337"/>
      <c r="F6" s="337"/>
      <c r="G6" s="327"/>
      <c r="M6" s="1"/>
      <c r="N6" s="1"/>
      <c r="O6" s="1"/>
      <c r="P6" s="1"/>
    </row>
    <row r="7" spans="1:16" s="7" customFormat="1" ht="26.25" customHeight="1">
      <c r="A7" s="1"/>
      <c r="B7" s="328" t="s">
        <v>256</v>
      </c>
      <c r="C7" s="329"/>
      <c r="D7" s="335"/>
      <c r="E7" s="337"/>
      <c r="F7" s="337"/>
      <c r="G7" s="327"/>
      <c r="M7" s="1"/>
      <c r="N7" s="1"/>
      <c r="O7" s="1"/>
      <c r="P7" s="1"/>
    </row>
    <row r="8" spans="1:16" s="7" customFormat="1" ht="26.25" customHeight="1">
      <c r="A8" s="1"/>
      <c r="B8" s="328" t="s">
        <v>257</v>
      </c>
      <c r="C8" s="329"/>
      <c r="D8" s="335"/>
      <c r="E8" s="337"/>
      <c r="F8" s="337"/>
      <c r="G8" s="327"/>
      <c r="M8" s="1"/>
      <c r="N8" s="1"/>
      <c r="O8" s="1"/>
      <c r="P8" s="1"/>
    </row>
    <row r="9" spans="1:16" s="7" customFormat="1" ht="26.25" customHeight="1">
      <c r="A9" s="1"/>
      <c r="B9" s="328" t="s">
        <v>258</v>
      </c>
      <c r="C9" s="329"/>
      <c r="D9" s="341">
        <f>Стандарт_2*3</f>
        <v>13050</v>
      </c>
      <c r="E9" s="339">
        <f>Стандарт_2*3+Патина</f>
        <v>16050</v>
      </c>
      <c r="F9" s="339">
        <f>Престиж_2*3</f>
        <v>19050</v>
      </c>
      <c r="G9" s="340">
        <f>F9+Патина</f>
        <v>22050</v>
      </c>
      <c r="M9" s="1"/>
      <c r="N9" s="1"/>
      <c r="O9" s="1"/>
      <c r="P9" s="1"/>
    </row>
    <row r="10" spans="1:16" s="7" customFormat="1" ht="26.25" customHeight="1">
      <c r="A10" s="1"/>
      <c r="B10" s="328"/>
      <c r="C10" s="329"/>
      <c r="D10" s="341"/>
      <c r="E10" s="339"/>
      <c r="F10" s="339"/>
      <c r="G10" s="340"/>
      <c r="M10" s="1"/>
      <c r="N10" s="1"/>
      <c r="O10" s="1"/>
      <c r="P10" s="1"/>
    </row>
    <row r="11" spans="1:16" s="7" customFormat="1" ht="26.25" customHeight="1">
      <c r="A11" s="1"/>
      <c r="B11" s="328" t="s">
        <v>259</v>
      </c>
      <c r="C11" s="329"/>
      <c r="D11" s="342"/>
      <c r="E11" s="337"/>
      <c r="F11" s="337"/>
      <c r="G11" s="327"/>
      <c r="M11" s="1"/>
      <c r="N11" s="1"/>
      <c r="O11" s="1"/>
      <c r="P11" s="1"/>
    </row>
    <row r="12" spans="1:16" s="7" customFormat="1" ht="26.25" customHeight="1">
      <c r="A12" s="1"/>
      <c r="B12" s="328"/>
      <c r="C12" s="329"/>
      <c r="D12" s="342"/>
      <c r="E12" s="337"/>
      <c r="F12" s="337"/>
      <c r="G12" s="327"/>
      <c r="M12" s="1"/>
      <c r="N12" s="1"/>
      <c r="O12" s="1"/>
      <c r="P12" s="1"/>
    </row>
    <row r="13" spans="1:16" s="7" customFormat="1" ht="26.25" customHeight="1">
      <c r="A13" s="1"/>
      <c r="B13" s="316" t="s">
        <v>260</v>
      </c>
      <c r="C13" s="343"/>
      <c r="D13" s="342"/>
      <c r="E13" s="337"/>
      <c r="F13" s="337"/>
      <c r="G13" s="327"/>
      <c r="M13" s="1"/>
      <c r="N13" s="1"/>
      <c r="O13" s="1"/>
      <c r="P13" s="1"/>
    </row>
    <row r="14" spans="1:16" s="7" customFormat="1" ht="26.25" customHeight="1">
      <c r="A14" s="1"/>
      <c r="B14" s="344"/>
      <c r="C14" s="345"/>
      <c r="D14" s="342"/>
      <c r="E14" s="337"/>
      <c r="F14" s="337"/>
      <c r="G14" s="327"/>
      <c r="M14" s="1"/>
      <c r="N14" s="1"/>
      <c r="O14" s="1"/>
      <c r="P14" s="1"/>
    </row>
    <row r="15" spans="1:16" s="7" customFormat="1" ht="26.25" customHeight="1">
      <c r="A15" s="1"/>
      <c r="B15" s="328" t="s">
        <v>261</v>
      </c>
      <c r="C15" s="329"/>
      <c r="D15" s="342"/>
      <c r="E15" s="337"/>
      <c r="F15" s="337"/>
      <c r="G15" s="327"/>
      <c r="M15" s="1"/>
      <c r="N15" s="1"/>
      <c r="O15" s="1"/>
      <c r="P15" s="1"/>
    </row>
    <row r="16" spans="1:16" s="7" customFormat="1" ht="26.25" customHeight="1">
      <c r="A16" s="1"/>
      <c r="B16" s="328" t="s">
        <v>262</v>
      </c>
      <c r="C16" s="329"/>
      <c r="D16" s="342"/>
      <c r="E16" s="337"/>
      <c r="F16" s="337"/>
      <c r="G16" s="327"/>
      <c r="M16" s="1"/>
      <c r="N16" s="1"/>
      <c r="O16" s="1"/>
      <c r="P16" s="1"/>
    </row>
    <row r="17" spans="1:16" s="7" customFormat="1" ht="26.25" customHeight="1">
      <c r="A17" s="1"/>
      <c r="B17" s="328" t="s">
        <v>263</v>
      </c>
      <c r="C17" s="329"/>
      <c r="D17" s="342"/>
      <c r="E17" s="337"/>
      <c r="F17" s="337"/>
      <c r="G17" s="327"/>
      <c r="M17" s="1"/>
      <c r="N17" s="1"/>
      <c r="O17" s="1"/>
      <c r="P17" s="1"/>
    </row>
    <row r="18" spans="1:16" s="7" customFormat="1" ht="26.25" customHeight="1">
      <c r="A18" s="1"/>
      <c r="B18" s="328" t="s">
        <v>264</v>
      </c>
      <c r="C18" s="329"/>
      <c r="D18" s="342"/>
      <c r="E18" s="337"/>
      <c r="F18" s="337"/>
      <c r="G18" s="327"/>
      <c r="M18" s="1"/>
      <c r="N18" s="1"/>
      <c r="O18" s="1"/>
      <c r="P18" s="1"/>
    </row>
    <row r="19" spans="1:16" s="7" customFormat="1" ht="26.25" customHeight="1">
      <c r="A19" s="1"/>
      <c r="B19" s="328" t="s">
        <v>265</v>
      </c>
      <c r="C19" s="329"/>
      <c r="D19" s="342"/>
      <c r="E19" s="337"/>
      <c r="F19" s="337"/>
      <c r="G19" s="327"/>
      <c r="M19" s="1"/>
      <c r="N19" s="1"/>
      <c r="O19" s="1"/>
      <c r="P19" s="1"/>
    </row>
    <row r="20" spans="1:16" s="7" customFormat="1" ht="26.25" customHeight="1" thickBot="1">
      <c r="A20" s="1"/>
      <c r="B20" s="346" t="s">
        <v>266</v>
      </c>
      <c r="C20" s="347"/>
      <c r="D20" s="76">
        <f>Стандарт_2*4</f>
        <v>17400</v>
      </c>
      <c r="E20" s="58">
        <f>Стандарт_2*4+Патина</f>
        <v>20400</v>
      </c>
      <c r="F20" s="58">
        <f>Престиж_2*4</f>
        <v>25400</v>
      </c>
      <c r="G20" s="59">
        <f>Престиж_2*4+Патина</f>
        <v>28400</v>
      </c>
      <c r="M20" s="1"/>
      <c r="N20" s="1"/>
      <c r="O20" s="1"/>
      <c r="P20" s="1"/>
    </row>
    <row r="21" spans="1:16" s="7" customFormat="1" ht="26.25" customHeight="1">
      <c r="A21" s="1"/>
      <c r="B21" s="2" t="s">
        <v>377</v>
      </c>
      <c r="C21" s="2"/>
      <c r="D21" s="10"/>
      <c r="E21" s="13"/>
      <c r="F21" s="13"/>
      <c r="G21" s="13"/>
      <c r="M21" s="1"/>
      <c r="N21" s="1"/>
      <c r="O21" s="1"/>
      <c r="P21" s="1"/>
    </row>
    <row r="22" spans="1:16" s="7" customFormat="1" ht="26.25" customHeight="1">
      <c r="A22" s="1"/>
      <c r="B22" s="2"/>
      <c r="C22" s="2"/>
      <c r="D22" s="22"/>
      <c r="E22" s="23"/>
      <c r="F22" s="13"/>
      <c r="G22" s="13"/>
      <c r="M22" s="1"/>
      <c r="N22" s="1"/>
      <c r="O22" s="1"/>
      <c r="P22" s="1"/>
    </row>
    <row r="23" spans="1:16" s="7" customFormat="1" ht="26.25" customHeight="1">
      <c r="A23" s="1"/>
      <c r="B23" s="135" t="s">
        <v>267</v>
      </c>
      <c r="C23" s="136"/>
      <c r="D23" s="53"/>
      <c r="E23" s="23"/>
      <c r="F23" s="23"/>
      <c r="G23" s="23"/>
      <c r="M23" s="1"/>
      <c r="N23" s="1"/>
      <c r="O23" s="1"/>
      <c r="P23" s="1"/>
    </row>
    <row r="24" spans="1:16" s="7" customFormat="1" ht="26.25" customHeight="1">
      <c r="A24" s="1"/>
      <c r="B24" s="2"/>
      <c r="C24" s="135" t="s">
        <v>268</v>
      </c>
      <c r="D24" s="53"/>
      <c r="E24" s="23"/>
      <c r="F24" s="23"/>
      <c r="G24" s="23"/>
      <c r="M24" s="1"/>
      <c r="N24" s="1"/>
      <c r="O24" s="1"/>
      <c r="P24" s="1"/>
    </row>
    <row r="25" spans="1:16" s="7" customFormat="1" ht="26.25" customHeight="1" thickBot="1">
      <c r="A25" s="1"/>
      <c r="B25" s="2"/>
      <c r="C25" s="23" t="s">
        <v>376</v>
      </c>
      <c r="E25" s="23"/>
      <c r="F25" s="23"/>
      <c r="G25" s="23"/>
      <c r="M25" s="1"/>
      <c r="N25" s="1"/>
      <c r="O25" s="1"/>
      <c r="P25" s="1"/>
    </row>
    <row r="26" spans="1:16" s="7" customFormat="1" ht="26.25" customHeight="1" thickBot="1">
      <c r="A26" s="1"/>
      <c r="B26" s="330" t="s">
        <v>241</v>
      </c>
      <c r="C26" s="338"/>
      <c r="D26" s="61" t="s">
        <v>242</v>
      </c>
      <c r="E26" s="55" t="s">
        <v>243</v>
      </c>
      <c r="F26" s="56" t="s">
        <v>244</v>
      </c>
      <c r="G26" s="57" t="s">
        <v>245</v>
      </c>
      <c r="M26" s="1"/>
      <c r="N26" s="1"/>
      <c r="O26" s="1"/>
      <c r="P26" s="1"/>
    </row>
    <row r="27" spans="1:16" s="7" customFormat="1" ht="26.25" customHeight="1">
      <c r="A27" s="1"/>
      <c r="B27" s="300" t="s">
        <v>269</v>
      </c>
      <c r="C27" s="301"/>
      <c r="D27" s="61">
        <f>Стандарт_2/10</f>
        <v>435</v>
      </c>
      <c r="E27" s="55">
        <f>(Стандарт_2+Патина)/10</f>
        <v>735</v>
      </c>
      <c r="F27" s="55">
        <f>Престиж_2/10</f>
        <v>635</v>
      </c>
      <c r="G27" s="38">
        <f>(Престиж_2+Патина)/10</f>
        <v>935</v>
      </c>
      <c r="M27" s="1"/>
      <c r="N27" s="1"/>
      <c r="O27" s="1"/>
      <c r="P27" s="1"/>
    </row>
    <row r="28" spans="1:16" s="7" customFormat="1" ht="26.25" customHeight="1">
      <c r="A28" s="1"/>
      <c r="B28" s="302" t="s">
        <v>270</v>
      </c>
      <c r="C28" s="303"/>
      <c r="D28" s="320">
        <f>Стандарт_2*2/10</f>
        <v>870</v>
      </c>
      <c r="E28" s="304">
        <f>(Стандарт_2*2+Патина)/10</f>
        <v>1170</v>
      </c>
      <c r="F28" s="307">
        <f>(Престиж_2*2)/10</f>
        <v>1270</v>
      </c>
      <c r="G28" s="310">
        <f>(Престиж_2*2+Патина)/10</f>
        <v>1570</v>
      </c>
      <c r="M28" s="1"/>
      <c r="N28" s="1"/>
      <c r="O28" s="1"/>
      <c r="P28" s="1"/>
    </row>
    <row r="29" spans="1:16" s="7" customFormat="1" ht="26.25" customHeight="1">
      <c r="A29" s="1"/>
      <c r="B29" s="302" t="s">
        <v>271</v>
      </c>
      <c r="C29" s="303"/>
      <c r="D29" s="321"/>
      <c r="E29" s="305"/>
      <c r="F29" s="308"/>
      <c r="G29" s="311"/>
      <c r="M29" s="1"/>
      <c r="N29" s="1"/>
      <c r="O29" s="1"/>
      <c r="P29" s="1"/>
    </row>
    <row r="30" spans="1:16" s="7" customFormat="1" ht="26.25" customHeight="1">
      <c r="A30" s="1"/>
      <c r="B30" s="302" t="s">
        <v>272</v>
      </c>
      <c r="C30" s="303"/>
      <c r="D30" s="321"/>
      <c r="E30" s="305"/>
      <c r="F30" s="308"/>
      <c r="G30" s="311"/>
      <c r="M30" s="1"/>
      <c r="N30" s="1"/>
      <c r="O30" s="1"/>
      <c r="P30" s="1"/>
    </row>
    <row r="31" spans="1:16" s="7" customFormat="1" ht="26.25" customHeight="1">
      <c r="A31" s="1"/>
      <c r="B31" s="302" t="s">
        <v>273</v>
      </c>
      <c r="C31" s="303"/>
      <c r="D31" s="321"/>
      <c r="E31" s="305"/>
      <c r="F31" s="308"/>
      <c r="G31" s="311"/>
      <c r="M31" s="1"/>
      <c r="N31" s="1"/>
      <c r="O31" s="1"/>
      <c r="P31" s="1"/>
    </row>
    <row r="32" spans="1:16" s="7" customFormat="1" ht="26.25" customHeight="1">
      <c r="A32" s="1"/>
      <c r="B32" s="302" t="s">
        <v>274</v>
      </c>
      <c r="C32" s="303"/>
      <c r="D32" s="321"/>
      <c r="E32" s="305"/>
      <c r="F32" s="308"/>
      <c r="G32" s="311"/>
      <c r="M32" s="1"/>
      <c r="N32" s="1"/>
      <c r="O32" s="1"/>
      <c r="P32" s="1"/>
    </row>
    <row r="33" spans="1:16" s="7" customFormat="1" ht="26.25" customHeight="1">
      <c r="A33" s="1"/>
      <c r="B33" s="302" t="s">
        <v>275</v>
      </c>
      <c r="C33" s="303"/>
      <c r="D33" s="321"/>
      <c r="E33" s="305"/>
      <c r="F33" s="308"/>
      <c r="G33" s="311"/>
      <c r="M33" s="1"/>
      <c r="N33" s="1"/>
      <c r="O33" s="1"/>
      <c r="P33" s="1"/>
    </row>
    <row r="34" spans="1:16" s="7" customFormat="1" ht="26.25" customHeight="1">
      <c r="A34" s="1"/>
      <c r="B34" s="302" t="s">
        <v>276</v>
      </c>
      <c r="C34" s="303"/>
      <c r="D34" s="321"/>
      <c r="E34" s="305"/>
      <c r="F34" s="308"/>
      <c r="G34" s="311"/>
      <c r="M34" s="1"/>
      <c r="N34" s="1"/>
      <c r="O34" s="1"/>
      <c r="P34" s="1"/>
    </row>
    <row r="35" spans="1:16" s="7" customFormat="1" ht="26.25" customHeight="1">
      <c r="A35" s="1"/>
      <c r="B35" s="302" t="s">
        <v>277</v>
      </c>
      <c r="C35" s="303"/>
      <c r="D35" s="322"/>
      <c r="E35" s="323"/>
      <c r="F35" s="324"/>
      <c r="G35" s="325"/>
      <c r="M35" s="1"/>
      <c r="N35" s="1"/>
      <c r="O35" s="1"/>
      <c r="P35" s="1"/>
    </row>
    <row r="36" spans="1:16" s="7" customFormat="1" ht="26.25" customHeight="1">
      <c r="A36" s="1"/>
      <c r="B36" s="302" t="s">
        <v>278</v>
      </c>
      <c r="C36" s="303"/>
      <c r="D36" s="313">
        <f>Стандарт_2*3/10</f>
        <v>1305</v>
      </c>
      <c r="E36" s="304">
        <f>(Стандарт_2*3+Патина)/10</f>
        <v>1605</v>
      </c>
      <c r="F36" s="307">
        <f>Престиж_2*3/10</f>
        <v>1905</v>
      </c>
      <c r="G36" s="310">
        <f>(Престиж_2*3+Патина)/10</f>
        <v>2205</v>
      </c>
      <c r="M36" s="1"/>
      <c r="N36" s="1"/>
      <c r="O36" s="1"/>
      <c r="P36" s="1"/>
    </row>
    <row r="37" spans="1:16" s="7" customFormat="1" ht="26.25" customHeight="1">
      <c r="A37" s="1"/>
      <c r="B37" s="302" t="s">
        <v>279</v>
      </c>
      <c r="C37" s="303"/>
      <c r="D37" s="314"/>
      <c r="E37" s="305"/>
      <c r="F37" s="308"/>
      <c r="G37" s="311"/>
      <c r="M37" s="1"/>
      <c r="N37" s="1"/>
      <c r="O37" s="1"/>
      <c r="P37" s="1"/>
    </row>
    <row r="38" spans="1:16" s="7" customFormat="1" ht="26.25" customHeight="1">
      <c r="A38" s="1"/>
      <c r="B38" s="302" t="s">
        <v>280</v>
      </c>
      <c r="C38" s="303"/>
      <c r="D38" s="314"/>
      <c r="E38" s="305"/>
      <c r="F38" s="308"/>
      <c r="G38" s="311"/>
      <c r="M38" s="1"/>
      <c r="N38" s="1"/>
      <c r="O38" s="1"/>
      <c r="P38" s="1"/>
    </row>
    <row r="39" spans="1:16" s="7" customFormat="1" ht="26.25" customHeight="1">
      <c r="A39" s="1"/>
      <c r="B39" s="302" t="s">
        <v>281</v>
      </c>
      <c r="C39" s="303"/>
      <c r="D39" s="314"/>
      <c r="E39" s="305"/>
      <c r="F39" s="308"/>
      <c r="G39" s="311"/>
      <c r="M39" s="1"/>
      <c r="N39" s="1"/>
      <c r="O39" s="1"/>
      <c r="P39" s="1"/>
    </row>
    <row r="40" spans="1:16" s="7" customFormat="1" ht="26.25" customHeight="1">
      <c r="A40" s="1"/>
      <c r="B40" s="302" t="s">
        <v>282</v>
      </c>
      <c r="C40" s="303"/>
      <c r="D40" s="314"/>
      <c r="E40" s="305"/>
      <c r="F40" s="308"/>
      <c r="G40" s="311"/>
      <c r="M40" s="1"/>
      <c r="N40" s="1"/>
      <c r="O40" s="1"/>
      <c r="P40" s="1"/>
    </row>
    <row r="41" spans="1:16" s="7" customFormat="1" ht="26.25" customHeight="1">
      <c r="A41" s="1"/>
      <c r="B41" s="302" t="s">
        <v>283</v>
      </c>
      <c r="C41" s="303"/>
      <c r="D41" s="314"/>
      <c r="E41" s="305"/>
      <c r="F41" s="308"/>
      <c r="G41" s="311"/>
      <c r="M41" s="1"/>
      <c r="N41" s="1"/>
      <c r="O41" s="1"/>
      <c r="P41" s="1"/>
    </row>
    <row r="42" spans="1:16" s="7" customFormat="1" ht="26.25" customHeight="1">
      <c r="A42" s="1"/>
      <c r="B42" s="302" t="s">
        <v>284</v>
      </c>
      <c r="C42" s="303"/>
      <c r="D42" s="314"/>
      <c r="E42" s="305"/>
      <c r="F42" s="308"/>
      <c r="G42" s="311"/>
      <c r="M42" s="1"/>
      <c r="N42" s="1"/>
      <c r="O42" s="1"/>
      <c r="P42" s="1"/>
    </row>
    <row r="43" spans="1:16" s="7" customFormat="1" ht="26.25" customHeight="1">
      <c r="A43" s="1"/>
      <c r="B43" s="316" t="s">
        <v>285</v>
      </c>
      <c r="C43" s="317"/>
      <c r="D43" s="314"/>
      <c r="E43" s="305"/>
      <c r="F43" s="308"/>
      <c r="G43" s="311"/>
      <c r="M43" s="1"/>
      <c r="N43" s="1"/>
      <c r="O43" s="1"/>
      <c r="P43" s="1"/>
    </row>
    <row r="44" spans="1:16" s="7" customFormat="1" ht="26.25" customHeight="1" thickBot="1">
      <c r="A44" s="1"/>
      <c r="B44" s="318"/>
      <c r="C44" s="319"/>
      <c r="D44" s="315"/>
      <c r="E44" s="306"/>
      <c r="F44" s="309"/>
      <c r="G44" s="312"/>
      <c r="M44" s="1"/>
      <c r="N44" s="1"/>
      <c r="O44" s="1"/>
      <c r="P44" s="1"/>
    </row>
    <row r="45" spans="1:16" s="7" customFormat="1" ht="26.25" customHeight="1">
      <c r="A45" s="1"/>
      <c r="B45" s="2" t="s">
        <v>286</v>
      </c>
      <c r="C45" s="136"/>
      <c r="D45" s="53"/>
      <c r="E45" s="23"/>
      <c r="F45" s="23"/>
      <c r="G45" s="23"/>
      <c r="M45" s="1"/>
      <c r="N45" s="1"/>
      <c r="O45" s="1"/>
      <c r="P45" s="1"/>
    </row>
    <row r="46" spans="1:16" ht="26.25" customHeight="1">
      <c r="H46" s="25" t="s">
        <v>287</v>
      </c>
    </row>
  </sheetData>
  <sortState xmlns:xlrd2="http://schemas.microsoft.com/office/spreadsheetml/2017/richdata2" ref="B36:C42">
    <sortCondition ref="B36"/>
  </sortState>
  <mergeCells count="48">
    <mergeCell ref="B26:C26"/>
    <mergeCell ref="F9:F19"/>
    <mergeCell ref="G9:G19"/>
    <mergeCell ref="B11:C12"/>
    <mergeCell ref="B15:C15"/>
    <mergeCell ref="B16:C16"/>
    <mergeCell ref="B17:C17"/>
    <mergeCell ref="B19:C19"/>
    <mergeCell ref="B9:C10"/>
    <mergeCell ref="D9:D19"/>
    <mergeCell ref="E9:E19"/>
    <mergeCell ref="B13:C14"/>
    <mergeCell ref="B20:C20"/>
    <mergeCell ref="B18:C18"/>
    <mergeCell ref="G5:G8"/>
    <mergeCell ref="B6:C6"/>
    <mergeCell ref="B7:C7"/>
    <mergeCell ref="B8:C8"/>
    <mergeCell ref="B4:C4"/>
    <mergeCell ref="B5:C5"/>
    <mergeCell ref="D5:D8"/>
    <mergeCell ref="E5:E8"/>
    <mergeCell ref="F5:F8"/>
    <mergeCell ref="F28:F35"/>
    <mergeCell ref="G28:G35"/>
    <mergeCell ref="B29:C29"/>
    <mergeCell ref="B30:C30"/>
    <mergeCell ref="B31:C31"/>
    <mergeCell ref="B32:C32"/>
    <mergeCell ref="B33:C33"/>
    <mergeCell ref="B35:C35"/>
    <mergeCell ref="B34:C34"/>
    <mergeCell ref="B27:C27"/>
    <mergeCell ref="B36:C36"/>
    <mergeCell ref="E36:E44"/>
    <mergeCell ref="F36:F44"/>
    <mergeCell ref="G36:G44"/>
    <mergeCell ref="B37:C37"/>
    <mergeCell ref="B38:C38"/>
    <mergeCell ref="B39:C39"/>
    <mergeCell ref="B40:C40"/>
    <mergeCell ref="B41:C41"/>
    <mergeCell ref="B42:C42"/>
    <mergeCell ref="D36:D44"/>
    <mergeCell ref="B43:C44"/>
    <mergeCell ref="B28:C28"/>
    <mergeCell ref="D28:D35"/>
    <mergeCell ref="E28:E35"/>
  </mergeCells>
  <pageMargins left="0.70866141732283472" right="0.31496062992125984" top="0.55118110236220474" bottom="0.35433070866141736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523FA-A856-4C82-8635-C01E639E9BBB}">
  <sheetPr>
    <pageSetUpPr fitToPage="1"/>
  </sheetPr>
  <dimension ref="A1:P46"/>
  <sheetViews>
    <sheetView view="pageBreakPreview" zoomScale="125" zoomScaleNormal="100" zoomScaleSheetLayoutView="125" workbookViewId="0">
      <selection activeCell="D42" sqref="D42"/>
    </sheetView>
  </sheetViews>
  <sheetFormatPr baseColWidth="10" defaultColWidth="9.1640625" defaultRowHeight="26.25" customHeight="1"/>
  <cols>
    <col min="1" max="1" width="1.6640625" style="1" customWidth="1"/>
    <col min="2" max="2" width="23.6640625" style="1" customWidth="1"/>
    <col min="3" max="3" width="24" style="1" customWidth="1"/>
    <col min="4" max="7" width="22.6640625" style="1" customWidth="1"/>
    <col min="8" max="8" width="1.6640625" style="7" customWidth="1"/>
    <col min="9" max="12" width="25.6640625" style="7" customWidth="1"/>
    <col min="13" max="17" width="25.6640625" style="1" customWidth="1"/>
    <col min="18" max="16384" width="9.1640625" style="1"/>
  </cols>
  <sheetData>
    <row r="1" spans="1:16" s="7" customFormat="1" ht="26.25" customHeight="1" thickBot="1">
      <c r="A1" s="1"/>
      <c r="B1" s="135" t="s">
        <v>288</v>
      </c>
      <c r="C1" s="136"/>
      <c r="D1" s="53"/>
      <c r="E1" s="23"/>
      <c r="F1" s="23"/>
      <c r="G1" s="23"/>
      <c r="M1" s="1"/>
      <c r="N1" s="1"/>
      <c r="O1" s="1"/>
      <c r="P1" s="1"/>
    </row>
    <row r="2" spans="1:16" s="7" customFormat="1" ht="26.25" customHeight="1" thickBot="1">
      <c r="A2" s="1"/>
      <c r="B2" s="383" t="s">
        <v>241</v>
      </c>
      <c r="C2" s="384"/>
      <c r="D2" s="54" t="s">
        <v>242</v>
      </c>
      <c r="E2" s="55" t="s">
        <v>243</v>
      </c>
      <c r="F2" s="56" t="s">
        <v>244</v>
      </c>
      <c r="G2" s="57" t="s">
        <v>245</v>
      </c>
      <c r="M2" s="1"/>
      <c r="N2" s="1"/>
      <c r="O2" s="1"/>
      <c r="P2" s="1"/>
    </row>
    <row r="3" spans="1:16" s="7" customFormat="1" ht="26.25" customHeight="1">
      <c r="A3" s="1"/>
      <c r="B3" s="332" t="s">
        <v>289</v>
      </c>
      <c r="C3" s="333"/>
      <c r="D3" s="385">
        <f>Стандарт_2</f>
        <v>4350</v>
      </c>
      <c r="E3" s="336">
        <f>Стандарт_2+Патина/4</f>
        <v>5100</v>
      </c>
      <c r="F3" s="336">
        <f>Престиж_2</f>
        <v>6350</v>
      </c>
      <c r="G3" s="326">
        <f>Престиж_2+Патина/4</f>
        <v>7100</v>
      </c>
      <c r="M3" s="1"/>
      <c r="N3" s="1"/>
      <c r="O3" s="1"/>
      <c r="P3" s="1"/>
    </row>
    <row r="4" spans="1:16" s="7" customFormat="1" ht="26.25" customHeight="1">
      <c r="A4" s="1"/>
      <c r="B4" s="302" t="s">
        <v>290</v>
      </c>
      <c r="C4" s="388"/>
      <c r="D4" s="342"/>
      <c r="E4" s="337"/>
      <c r="F4" s="337"/>
      <c r="G4" s="327"/>
      <c r="M4" s="1"/>
      <c r="N4" s="1"/>
      <c r="O4" s="1"/>
      <c r="P4" s="1"/>
    </row>
    <row r="5" spans="1:16" s="7" customFormat="1" ht="26.25" customHeight="1">
      <c r="A5" s="1"/>
      <c r="B5" s="302" t="s">
        <v>291</v>
      </c>
      <c r="C5" s="388"/>
      <c r="D5" s="342"/>
      <c r="E5" s="337"/>
      <c r="F5" s="337"/>
      <c r="G5" s="327"/>
      <c r="M5" s="1"/>
      <c r="N5" s="1"/>
      <c r="O5" s="1"/>
      <c r="P5" s="1"/>
    </row>
    <row r="6" spans="1:16" s="7" customFormat="1" ht="26.25" customHeight="1">
      <c r="A6" s="1"/>
      <c r="B6" s="302" t="s">
        <v>292</v>
      </c>
      <c r="C6" s="388"/>
      <c r="D6" s="342"/>
      <c r="E6" s="337"/>
      <c r="F6" s="337"/>
      <c r="G6" s="327"/>
      <c r="M6" s="1"/>
      <c r="N6" s="1"/>
      <c r="O6" s="1"/>
      <c r="P6" s="1"/>
    </row>
    <row r="7" spans="1:16" s="7" customFormat="1" ht="26.25" customHeight="1">
      <c r="A7" s="1"/>
      <c r="B7" s="302" t="s">
        <v>293</v>
      </c>
      <c r="C7" s="388"/>
      <c r="D7" s="342"/>
      <c r="E7" s="337"/>
      <c r="F7" s="337"/>
      <c r="G7" s="327"/>
      <c r="M7" s="1"/>
      <c r="N7" s="1"/>
      <c r="O7" s="1"/>
      <c r="P7" s="1"/>
    </row>
    <row r="8" spans="1:16" s="7" customFormat="1" ht="26.25" customHeight="1">
      <c r="A8" s="1"/>
      <c r="B8" s="302" t="s">
        <v>294</v>
      </c>
      <c r="C8" s="388"/>
      <c r="D8" s="342"/>
      <c r="E8" s="337"/>
      <c r="F8" s="337"/>
      <c r="G8" s="327"/>
      <c r="M8" s="1"/>
      <c r="N8" s="1"/>
      <c r="O8" s="1"/>
      <c r="P8" s="1"/>
    </row>
    <row r="9" spans="1:16" s="7" customFormat="1" ht="26.25" customHeight="1">
      <c r="A9" s="1"/>
      <c r="B9" s="302" t="s">
        <v>295</v>
      </c>
      <c r="C9" s="388"/>
      <c r="D9" s="342"/>
      <c r="E9" s="337"/>
      <c r="F9" s="337"/>
      <c r="G9" s="327"/>
      <c r="M9" s="1"/>
      <c r="N9" s="1"/>
      <c r="O9" s="1"/>
      <c r="P9" s="1"/>
    </row>
    <row r="10" spans="1:16" s="7" customFormat="1" ht="26.25" customHeight="1" thickBot="1">
      <c r="A10" s="1"/>
      <c r="B10" s="354" t="s">
        <v>296</v>
      </c>
      <c r="C10" s="390"/>
      <c r="D10" s="386"/>
      <c r="E10" s="387"/>
      <c r="F10" s="387"/>
      <c r="G10" s="389"/>
      <c r="M10" s="1"/>
      <c r="N10" s="1"/>
      <c r="O10" s="1"/>
      <c r="P10" s="1"/>
    </row>
    <row r="11" spans="1:16" s="7" customFormat="1" ht="26.25" customHeight="1">
      <c r="A11" s="1"/>
      <c r="B11" s="2"/>
      <c r="C11" s="2"/>
      <c r="M11" s="1"/>
      <c r="N11" s="1"/>
      <c r="O11" s="1"/>
      <c r="P11" s="1"/>
    </row>
    <row r="12" spans="1:16" s="7" customFormat="1" ht="26.25" customHeight="1">
      <c r="B12" s="135" t="s">
        <v>394</v>
      </c>
      <c r="C12" s="136"/>
      <c r="D12" s="53"/>
      <c r="E12" s="23"/>
      <c r="F12" s="23"/>
      <c r="G12" s="23"/>
    </row>
    <row r="13" spans="1:16" s="7" customFormat="1" ht="26.25" customHeight="1">
      <c r="A13" s="1"/>
      <c r="B13" s="2"/>
      <c r="C13" s="136"/>
      <c r="D13" s="359" t="s">
        <v>297</v>
      </c>
      <c r="E13" s="360"/>
      <c r="F13" s="360"/>
      <c r="G13" s="360"/>
      <c r="M13" s="1"/>
      <c r="N13" s="1"/>
      <c r="O13" s="1"/>
      <c r="P13" s="1"/>
    </row>
    <row r="14" spans="1:16" s="7" customFormat="1" ht="26.25" customHeight="1">
      <c r="A14" s="1"/>
      <c r="B14" s="2"/>
      <c r="C14" s="136"/>
      <c r="D14" s="53"/>
      <c r="E14" s="23"/>
      <c r="F14" s="23"/>
      <c r="G14" s="23"/>
      <c r="M14" s="1"/>
      <c r="N14" s="1"/>
      <c r="O14" s="1"/>
      <c r="P14" s="1"/>
    </row>
    <row r="15" spans="1:16" s="7" customFormat="1" ht="26.25" customHeight="1" thickBot="1">
      <c r="A15" s="1"/>
      <c r="B15" s="135" t="s">
        <v>395</v>
      </c>
      <c r="C15" s="136"/>
      <c r="D15" s="53"/>
      <c r="E15" s="62"/>
      <c r="F15" s="23"/>
      <c r="G15" s="23"/>
      <c r="M15" s="1"/>
      <c r="N15" s="1"/>
      <c r="O15" s="1"/>
      <c r="P15" s="1"/>
    </row>
    <row r="16" spans="1:16" s="7" customFormat="1" ht="26.25" customHeight="1" thickBot="1">
      <c r="A16" s="1"/>
      <c r="B16" s="356" t="s">
        <v>241</v>
      </c>
      <c r="C16" s="367"/>
      <c r="D16" s="373" t="s">
        <v>298</v>
      </c>
      <c r="E16" s="355"/>
      <c r="F16" s="355"/>
      <c r="G16" s="374"/>
      <c r="M16" s="1"/>
      <c r="N16" s="1"/>
      <c r="O16" s="1"/>
      <c r="P16" s="1"/>
    </row>
    <row r="17" spans="1:16" s="7" customFormat="1" ht="26.25" customHeight="1">
      <c r="A17" s="1"/>
      <c r="B17" s="368" t="s">
        <v>299</v>
      </c>
      <c r="C17" s="369"/>
      <c r="D17" s="370" t="s">
        <v>300</v>
      </c>
      <c r="E17" s="375">
        <f>Сложная_фрезеровка</f>
        <v>1000</v>
      </c>
      <c r="F17" s="348" t="s">
        <v>301</v>
      </c>
      <c r="G17" s="378"/>
      <c r="M17" s="1"/>
      <c r="N17" s="1"/>
      <c r="O17" s="1"/>
      <c r="P17" s="1"/>
    </row>
    <row r="18" spans="1:16" s="7" customFormat="1" ht="26.25" customHeight="1">
      <c r="A18" s="1"/>
      <c r="B18" s="361" t="s">
        <v>302</v>
      </c>
      <c r="C18" s="362"/>
      <c r="D18" s="371"/>
      <c r="E18" s="376"/>
      <c r="F18" s="379"/>
      <c r="G18" s="380"/>
      <c r="M18" s="1"/>
      <c r="N18" s="1"/>
      <c r="O18" s="1"/>
      <c r="P18" s="1"/>
    </row>
    <row r="19" spans="1:16" s="7" customFormat="1" ht="26.25" customHeight="1">
      <c r="A19" s="1"/>
      <c r="B19" s="361" t="s">
        <v>303</v>
      </c>
      <c r="C19" s="362"/>
      <c r="D19" s="371"/>
      <c r="E19" s="376"/>
      <c r="F19" s="379"/>
      <c r="G19" s="380"/>
      <c r="M19" s="1"/>
      <c r="N19" s="1"/>
      <c r="O19" s="1"/>
      <c r="P19" s="1"/>
    </row>
    <row r="20" spans="1:16" s="7" customFormat="1" ht="26.25" customHeight="1">
      <c r="A20" s="1"/>
      <c r="B20" s="361" t="s">
        <v>304</v>
      </c>
      <c r="C20" s="362"/>
      <c r="D20" s="371"/>
      <c r="E20" s="376"/>
      <c r="F20" s="379"/>
      <c r="G20" s="380"/>
      <c r="M20" s="1"/>
      <c r="N20" s="1"/>
      <c r="O20" s="1"/>
      <c r="P20" s="1"/>
    </row>
    <row r="21" spans="1:16" s="7" customFormat="1" ht="26.25" customHeight="1" thickBot="1">
      <c r="A21" s="1"/>
      <c r="B21" s="365" t="s">
        <v>305</v>
      </c>
      <c r="C21" s="366"/>
      <c r="D21" s="372"/>
      <c r="E21" s="377"/>
      <c r="F21" s="381"/>
      <c r="G21" s="382"/>
      <c r="M21" s="1"/>
      <c r="N21" s="1"/>
      <c r="O21" s="1"/>
      <c r="P21" s="1"/>
    </row>
    <row r="22" spans="1:16" s="7" customFormat="1" ht="26.25" customHeight="1">
      <c r="A22" s="1"/>
      <c r="B22" s="2" t="s">
        <v>306</v>
      </c>
      <c r="C22" s="2"/>
      <c r="D22" s="10"/>
      <c r="E22" s="10"/>
      <c r="F22" s="10"/>
      <c r="G22" s="10"/>
      <c r="M22" s="1"/>
      <c r="N22" s="1"/>
      <c r="O22" s="1"/>
      <c r="P22" s="1"/>
    </row>
    <row r="23" spans="1:16" s="7" customFormat="1" ht="26.25" customHeight="1">
      <c r="A23" s="1"/>
      <c r="B23" s="2"/>
      <c r="C23" s="2"/>
      <c r="D23" s="10"/>
      <c r="E23" s="10"/>
      <c r="F23" s="10"/>
      <c r="G23" s="10"/>
      <c r="M23" s="1"/>
      <c r="N23" s="1"/>
      <c r="O23" s="1"/>
      <c r="P23" s="1"/>
    </row>
    <row r="24" spans="1:16" s="7" customFormat="1" ht="26.25" customHeight="1">
      <c r="A24" s="1"/>
      <c r="B24" s="2" t="s">
        <v>307</v>
      </c>
      <c r="C24" s="2"/>
      <c r="D24" s="10"/>
      <c r="E24" s="10"/>
      <c r="F24" s="10"/>
      <c r="G24" s="10"/>
      <c r="M24" s="1"/>
      <c r="N24" s="1"/>
      <c r="O24" s="1"/>
      <c r="P24" s="1"/>
    </row>
    <row r="25" spans="1:16" ht="26.25" customHeight="1">
      <c r="B25" s="2" t="s">
        <v>308</v>
      </c>
      <c r="C25" s="9"/>
      <c r="D25" s="10"/>
      <c r="E25" s="11"/>
      <c r="F25" s="11"/>
      <c r="G25" s="11"/>
    </row>
    <row r="26" spans="1:16" ht="26.25" customHeight="1">
      <c r="B26" s="63"/>
      <c r="C26" s="363" t="s">
        <v>309</v>
      </c>
      <c r="D26" s="364"/>
      <c r="E26" s="364"/>
      <c r="F26" s="364"/>
      <c r="G26" s="364"/>
    </row>
    <row r="28" spans="1:16" s="7" customFormat="1" ht="26.25" customHeight="1" thickBot="1">
      <c r="A28" s="1"/>
      <c r="B28" s="135" t="s">
        <v>396</v>
      </c>
      <c r="C28" s="136"/>
      <c r="D28" s="53"/>
      <c r="E28" s="62"/>
      <c r="F28" s="23"/>
      <c r="G28" s="23"/>
      <c r="M28" s="1"/>
      <c r="N28" s="1"/>
      <c r="O28" s="1"/>
      <c r="P28" s="1"/>
    </row>
    <row r="29" spans="1:16" s="7" customFormat="1" ht="26.25" customHeight="1" thickBot="1">
      <c r="A29" s="1"/>
      <c r="B29" s="356" t="s">
        <v>241</v>
      </c>
      <c r="C29" s="357"/>
      <c r="D29" s="358"/>
      <c r="E29" s="355" t="s">
        <v>298</v>
      </c>
      <c r="F29" s="288"/>
      <c r="G29" s="289"/>
      <c r="M29" s="1"/>
      <c r="N29" s="1"/>
      <c r="O29" s="1"/>
      <c r="P29" s="1"/>
    </row>
    <row r="30" spans="1:16" s="7" customFormat="1" ht="26.25" customHeight="1">
      <c r="A30" s="1"/>
      <c r="B30" s="332" t="s">
        <v>310</v>
      </c>
      <c r="C30" s="353"/>
      <c r="D30" s="259"/>
      <c r="E30" s="348" t="s">
        <v>311</v>
      </c>
      <c r="F30" s="349"/>
      <c r="G30" s="350"/>
      <c r="M30" s="1"/>
      <c r="N30" s="1"/>
      <c r="O30" s="1"/>
      <c r="P30" s="1"/>
    </row>
    <row r="31" spans="1:16" s="7" customFormat="1" ht="26.25" customHeight="1" thickBot="1">
      <c r="A31" s="1"/>
      <c r="B31" s="354" t="s">
        <v>312</v>
      </c>
      <c r="C31" s="222"/>
      <c r="D31" s="263"/>
      <c r="E31" s="351"/>
      <c r="F31" s="351"/>
      <c r="G31" s="352"/>
      <c r="M31" s="1"/>
      <c r="N31" s="1"/>
      <c r="O31" s="1"/>
      <c r="P31" s="1"/>
    </row>
    <row r="32" spans="1:16" ht="26.25" customHeight="1">
      <c r="B32" s="1" t="s">
        <v>313</v>
      </c>
    </row>
    <row r="33" spans="2:8" ht="26.25" customHeight="1">
      <c r="B33" s="1" t="s">
        <v>314</v>
      </c>
    </row>
    <row r="34" spans="2:8" ht="26.25" customHeight="1">
      <c r="C34" s="1" t="s">
        <v>315</v>
      </c>
    </row>
    <row r="35" spans="2:8" ht="26.25" customHeight="1">
      <c r="C35" s="1" t="s">
        <v>316</v>
      </c>
    </row>
    <row r="46" spans="2:8" ht="26.25" customHeight="1">
      <c r="H46" s="25" t="s">
        <v>317</v>
      </c>
    </row>
  </sheetData>
  <sortState xmlns:xlrd2="http://schemas.microsoft.com/office/spreadsheetml/2017/richdata2" ref="B3:C5">
    <sortCondition ref="B3"/>
  </sortState>
  <mergeCells count="30">
    <mergeCell ref="G3:G10"/>
    <mergeCell ref="B7:C7"/>
    <mergeCell ref="B8:C8"/>
    <mergeCell ref="B9:C9"/>
    <mergeCell ref="B10:C10"/>
    <mergeCell ref="B2:C2"/>
    <mergeCell ref="B3:C3"/>
    <mergeCell ref="D3:D10"/>
    <mergeCell ref="E3:E10"/>
    <mergeCell ref="F3:F10"/>
    <mergeCell ref="B4:C4"/>
    <mergeCell ref="B5:C5"/>
    <mergeCell ref="B6:C6"/>
    <mergeCell ref="D13:G13"/>
    <mergeCell ref="B20:C20"/>
    <mergeCell ref="C26:G26"/>
    <mergeCell ref="B21:C21"/>
    <mergeCell ref="B16:C16"/>
    <mergeCell ref="B17:C17"/>
    <mergeCell ref="D17:D21"/>
    <mergeCell ref="B18:C18"/>
    <mergeCell ref="B19:C19"/>
    <mergeCell ref="D16:G16"/>
    <mergeCell ref="E17:E21"/>
    <mergeCell ref="F17:G21"/>
    <mergeCell ref="E30:G31"/>
    <mergeCell ref="B30:D30"/>
    <mergeCell ref="B31:D31"/>
    <mergeCell ref="E29:G29"/>
    <mergeCell ref="B29:D29"/>
  </mergeCells>
  <pageMargins left="0.70866141732283472" right="0.31496062992125984" top="0.55118110236220474" bottom="0.35433070866141736" header="0.31496062992125984" footer="0.31496062992125984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2FDF8-B8A8-F04A-8817-2AB9666259FA}">
  <sheetPr>
    <pageSetUpPr fitToPage="1"/>
  </sheetPr>
  <dimension ref="A1:P46"/>
  <sheetViews>
    <sheetView view="pageBreakPreview" zoomScale="125" zoomScaleNormal="100" zoomScaleSheetLayoutView="125" workbookViewId="0">
      <selection activeCell="B16" sqref="B16"/>
    </sheetView>
  </sheetViews>
  <sheetFormatPr baseColWidth="10" defaultColWidth="9.1640625" defaultRowHeight="26.25" customHeight="1"/>
  <cols>
    <col min="1" max="1" width="1.6640625" style="1" customWidth="1"/>
    <col min="2" max="7" width="22.6640625" style="1" customWidth="1"/>
    <col min="8" max="8" width="1.6640625" style="7" customWidth="1"/>
    <col min="9" max="12" width="25.6640625" style="7" customWidth="1"/>
    <col min="13" max="17" width="25.6640625" style="1" customWidth="1"/>
    <col min="18" max="16384" width="9.1640625" style="1"/>
  </cols>
  <sheetData>
    <row r="1" spans="1:16" s="7" customFormat="1" ht="26.25" customHeight="1">
      <c r="A1" s="1"/>
      <c r="B1" s="135" t="s">
        <v>397</v>
      </c>
      <c r="C1" s="136"/>
      <c r="D1" s="53"/>
      <c r="E1" s="23"/>
      <c r="F1" s="23"/>
      <c r="G1" s="23"/>
      <c r="M1" s="1"/>
      <c r="N1" s="1"/>
      <c r="O1" s="1"/>
      <c r="P1" s="1"/>
    </row>
    <row r="2" spans="1:16" ht="26.25" customHeight="1" thickBot="1"/>
    <row r="3" spans="1:16" s="7" customFormat="1" ht="26.25" customHeight="1" thickBot="1">
      <c r="A3" s="1"/>
      <c r="B3" s="356" t="s">
        <v>241</v>
      </c>
      <c r="C3" s="367"/>
      <c r="D3" s="373" t="s">
        <v>298</v>
      </c>
      <c r="E3" s="355"/>
      <c r="F3" s="355"/>
      <c r="G3" s="374"/>
      <c r="M3" s="1"/>
      <c r="N3" s="1"/>
      <c r="O3" s="1"/>
      <c r="P3" s="1"/>
    </row>
    <row r="4" spans="1:16" s="7" customFormat="1" ht="26.25" customHeight="1">
      <c r="A4" s="1"/>
      <c r="B4" s="368" t="s">
        <v>318</v>
      </c>
      <c r="C4" s="369"/>
      <c r="D4" s="370" t="s">
        <v>300</v>
      </c>
      <c r="E4" s="391">
        <v>0.2</v>
      </c>
      <c r="F4" s="348" t="s">
        <v>319</v>
      </c>
      <c r="G4" s="378"/>
      <c r="M4" s="1"/>
      <c r="N4" s="1"/>
      <c r="O4" s="1"/>
      <c r="P4" s="1"/>
    </row>
    <row r="5" spans="1:16" s="7" customFormat="1" ht="26.25" customHeight="1" thickBot="1">
      <c r="A5" s="1"/>
      <c r="B5" s="365" t="s">
        <v>320</v>
      </c>
      <c r="C5" s="366"/>
      <c r="D5" s="372"/>
      <c r="E5" s="392"/>
      <c r="F5" s="381"/>
      <c r="G5" s="382"/>
      <c r="M5" s="1"/>
      <c r="N5" s="1"/>
      <c r="O5" s="1"/>
      <c r="P5" s="1"/>
    </row>
    <row r="8" spans="1:16" s="7" customFormat="1" ht="26.25" customHeight="1">
      <c r="B8" s="2" t="s">
        <v>321</v>
      </c>
    </row>
    <row r="9" spans="1:16" s="7" customFormat="1" ht="26.25" customHeight="1">
      <c r="B9" s="7" t="s">
        <v>322</v>
      </c>
      <c r="C9" s="7" t="s">
        <v>323</v>
      </c>
    </row>
    <row r="10" spans="1:16" s="7" customFormat="1" ht="26.25" customHeight="1">
      <c r="B10" s="7" t="s">
        <v>324</v>
      </c>
      <c r="C10" s="7" t="s">
        <v>325</v>
      </c>
    </row>
    <row r="11" spans="1:16" s="7" customFormat="1" ht="26.25" customHeight="1"/>
    <row r="12" spans="1:16" s="7" customFormat="1" ht="26.25" customHeight="1">
      <c r="B12" s="2" t="s">
        <v>326</v>
      </c>
    </row>
    <row r="13" spans="1:16" s="7" customFormat="1" ht="26.25" customHeight="1"/>
    <row r="14" spans="1:16" s="7" customFormat="1" ht="26.25" customHeight="1"/>
    <row r="15" spans="1:16" ht="26.25" customHeight="1">
      <c r="B15" s="40" t="s">
        <v>398</v>
      </c>
    </row>
    <row r="46" spans="8:8" ht="26.25" customHeight="1">
      <c r="H46" s="25" t="s">
        <v>327</v>
      </c>
    </row>
  </sheetData>
  <mergeCells count="7">
    <mergeCell ref="D3:G3"/>
    <mergeCell ref="D4:D5"/>
    <mergeCell ref="E4:E5"/>
    <mergeCell ref="F4:G5"/>
    <mergeCell ref="B5:C5"/>
    <mergeCell ref="B3:C3"/>
    <mergeCell ref="B4:C4"/>
  </mergeCells>
  <pageMargins left="0.70866141732283472" right="0.31496062992125984" top="0.55118110236220474" bottom="0.35433070866141736" header="0.31496062992125984" footer="0.31496062992125984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2C4E3-5F70-4D2A-AF25-A0E76AD00127}">
  <sheetPr>
    <pageSetUpPr fitToPage="1"/>
  </sheetPr>
  <dimension ref="B1:P49"/>
  <sheetViews>
    <sheetView zoomScale="125" zoomScaleNormal="125" zoomScaleSheetLayoutView="100" workbookViewId="0">
      <selection activeCell="D7" sqref="D7"/>
    </sheetView>
  </sheetViews>
  <sheetFormatPr baseColWidth="10" defaultColWidth="9.1640625" defaultRowHeight="26.25" customHeight="1"/>
  <cols>
    <col min="1" max="1" width="1.6640625" style="1" customWidth="1"/>
    <col min="2" max="7" width="22.6640625" style="1" customWidth="1"/>
    <col min="8" max="8" width="1.6640625" style="7" customWidth="1"/>
    <col min="9" max="12" width="25.6640625" style="7" customWidth="1"/>
    <col min="13" max="17" width="25.6640625" style="1" customWidth="1"/>
    <col min="18" max="16384" width="9.1640625" style="1"/>
  </cols>
  <sheetData>
    <row r="1" spans="2:16" s="7" customFormat="1" ht="26.25" customHeight="1">
      <c r="B1" s="2" t="s">
        <v>328</v>
      </c>
      <c r="C1" s="2"/>
      <c r="D1" s="53"/>
      <c r="E1" s="23"/>
      <c r="F1" s="23"/>
      <c r="G1" s="23"/>
      <c r="M1" s="1"/>
      <c r="N1" s="1"/>
      <c r="O1" s="1"/>
      <c r="P1" s="1"/>
    </row>
    <row r="2" spans="2:16" s="7" customFormat="1" ht="26.25" customHeight="1">
      <c r="B2" s="2"/>
      <c r="C2" s="2"/>
      <c r="D2" s="23"/>
      <c r="E2" s="23"/>
      <c r="F2" s="23"/>
      <c r="G2" s="23"/>
      <c r="M2" s="1"/>
      <c r="N2" s="1"/>
      <c r="O2" s="1"/>
      <c r="P2" s="1"/>
    </row>
    <row r="3" spans="2:16" s="7" customFormat="1" ht="26.25" customHeight="1">
      <c r="B3" s="26" t="s">
        <v>329</v>
      </c>
      <c r="C3" s="26"/>
      <c r="D3" s="26"/>
      <c r="E3" s="26"/>
      <c r="F3" s="26"/>
      <c r="G3" s="13"/>
      <c r="M3" s="24"/>
      <c r="N3" s="24"/>
      <c r="O3" s="24"/>
      <c r="P3" s="24"/>
    </row>
    <row r="4" spans="2:16" s="7" customFormat="1" ht="26.25" customHeight="1">
      <c r="B4" s="26"/>
      <c r="C4" s="26" t="s">
        <v>330</v>
      </c>
      <c r="D4" s="26"/>
      <c r="E4" s="26"/>
      <c r="F4" s="26"/>
      <c r="G4" s="13"/>
      <c r="M4" s="24"/>
      <c r="N4" s="24"/>
      <c r="O4" s="24"/>
      <c r="P4" s="24"/>
    </row>
    <row r="5" spans="2:16" s="7" customFormat="1" ht="26.25" customHeight="1">
      <c r="B5" s="26"/>
      <c r="C5" s="26"/>
      <c r="D5" s="26"/>
      <c r="E5" s="26"/>
      <c r="F5" s="26"/>
      <c r="G5" s="13"/>
      <c r="M5" s="24"/>
      <c r="N5" s="24"/>
      <c r="O5" s="24"/>
      <c r="P5" s="24"/>
    </row>
    <row r="6" spans="2:16" s="7" customFormat="1" ht="26.25" customHeight="1">
      <c r="B6" s="23" t="s">
        <v>331</v>
      </c>
      <c r="C6" s="26"/>
      <c r="D6" s="26"/>
      <c r="E6" s="26"/>
      <c r="F6" s="26"/>
      <c r="G6" s="13"/>
      <c r="M6" s="24"/>
      <c r="N6" s="24"/>
      <c r="O6" s="24"/>
      <c r="P6" s="24"/>
    </row>
    <row r="7" spans="2:16" s="7" customFormat="1" ht="26.25" customHeight="1">
      <c r="B7" s="26"/>
      <c r="C7" s="26" t="s">
        <v>330</v>
      </c>
      <c r="D7" s="26"/>
      <c r="E7" s="26"/>
      <c r="F7" s="26"/>
      <c r="G7" s="13"/>
      <c r="M7" s="24"/>
      <c r="N7" s="24"/>
      <c r="O7" s="24"/>
      <c r="P7" s="24"/>
    </row>
    <row r="8" spans="2:16" s="7" customFormat="1" ht="26.25" customHeight="1">
      <c r="B8" s="23"/>
      <c r="C8" s="10"/>
      <c r="D8" s="10"/>
      <c r="E8" s="13"/>
      <c r="F8" s="13"/>
      <c r="G8" s="13"/>
      <c r="M8" s="24"/>
      <c r="N8" s="24"/>
      <c r="O8" s="24"/>
      <c r="P8" s="24"/>
    </row>
    <row r="9" spans="2:16" s="7" customFormat="1" ht="26.25" customHeight="1">
      <c r="B9" s="23" t="s">
        <v>332</v>
      </c>
      <c r="C9" s="2"/>
      <c r="D9" s="23"/>
      <c r="E9" s="23"/>
      <c r="F9" s="23"/>
      <c r="G9" s="23"/>
      <c r="M9" s="1"/>
      <c r="N9" s="1"/>
      <c r="O9" s="1"/>
      <c r="P9" s="1"/>
    </row>
    <row r="10" spans="2:16" s="7" customFormat="1" ht="26.25" customHeight="1">
      <c r="B10" s="23"/>
      <c r="C10" s="2"/>
      <c r="D10" s="23"/>
      <c r="E10" s="23"/>
      <c r="F10" s="23"/>
      <c r="G10" s="23"/>
      <c r="M10" s="1"/>
      <c r="N10" s="1"/>
      <c r="O10" s="1"/>
      <c r="P10" s="1"/>
    </row>
    <row r="11" spans="2:16" s="7" customFormat="1" ht="26.25" customHeight="1">
      <c r="B11" s="23" t="s">
        <v>333</v>
      </c>
      <c r="C11" s="2"/>
      <c r="D11" s="23"/>
      <c r="E11" s="23"/>
      <c r="F11" s="23"/>
      <c r="G11" s="23"/>
      <c r="M11" s="1"/>
      <c r="N11" s="1"/>
      <c r="O11" s="1"/>
      <c r="P11" s="1"/>
    </row>
    <row r="12" spans="2:16" s="7" customFormat="1" ht="26.25" customHeight="1">
      <c r="B12" s="2"/>
      <c r="C12" s="2"/>
      <c r="D12" s="23"/>
      <c r="E12" s="23"/>
      <c r="F12" s="23"/>
      <c r="G12" s="23"/>
      <c r="M12" s="1"/>
      <c r="N12" s="1"/>
      <c r="O12" s="1"/>
      <c r="P12" s="1"/>
    </row>
    <row r="13" spans="2:16" s="7" customFormat="1" ht="26.25" customHeight="1">
      <c r="B13" s="2" t="s">
        <v>334</v>
      </c>
      <c r="C13" s="2"/>
      <c r="D13" s="23"/>
      <c r="E13" s="23"/>
      <c r="F13" s="23"/>
      <c r="G13" s="23"/>
      <c r="M13" s="1"/>
      <c r="N13" s="1"/>
      <c r="O13" s="1"/>
      <c r="P13" s="1"/>
    </row>
    <row r="14" spans="2:16" s="7" customFormat="1" ht="26.25" customHeight="1">
      <c r="B14" s="2"/>
      <c r="C14" s="2"/>
      <c r="D14" s="23"/>
      <c r="E14" s="23"/>
      <c r="F14" s="23"/>
      <c r="G14" s="23"/>
      <c r="M14" s="1"/>
      <c r="N14" s="1"/>
      <c r="O14" s="1"/>
      <c r="P14" s="1"/>
    </row>
    <row r="15" spans="2:16" s="7" customFormat="1" ht="26.25" customHeight="1">
      <c r="B15" s="23" t="s">
        <v>335</v>
      </c>
      <c r="C15" s="10"/>
      <c r="D15" s="10"/>
      <c r="E15" s="13"/>
      <c r="F15" s="13"/>
      <c r="G15" s="13"/>
      <c r="M15" s="24"/>
      <c r="N15" s="24"/>
      <c r="O15" s="24"/>
      <c r="P15" s="24"/>
    </row>
    <row r="16" spans="2:16" s="7" customFormat="1" ht="26.25" customHeight="1">
      <c r="B16" s="23"/>
      <c r="C16" s="10"/>
      <c r="D16" s="10"/>
      <c r="E16" s="13"/>
      <c r="F16" s="13"/>
      <c r="G16" s="13"/>
      <c r="M16" s="24"/>
      <c r="N16" s="24"/>
      <c r="O16" s="24"/>
      <c r="P16" s="24"/>
    </row>
    <row r="17" spans="2:16" ht="26.25" customHeight="1">
      <c r="B17" s="23" t="s">
        <v>336</v>
      </c>
    </row>
    <row r="18" spans="2:16" s="8" customFormat="1" ht="26.25" customHeight="1">
      <c r="B18" s="23"/>
      <c r="H18" s="7"/>
      <c r="I18" s="7"/>
      <c r="J18" s="7"/>
      <c r="K18" s="7"/>
      <c r="L18" s="7"/>
    </row>
    <row r="19" spans="2:16" ht="26.25" customHeight="1">
      <c r="B19" s="23" t="s">
        <v>337</v>
      </c>
    </row>
    <row r="20" spans="2:16" s="8" customFormat="1" ht="26.25" customHeight="1">
      <c r="B20" s="23"/>
      <c r="H20" s="7"/>
      <c r="I20" s="7"/>
      <c r="J20" s="7"/>
      <c r="K20" s="7"/>
      <c r="L20" s="7"/>
    </row>
    <row r="21" spans="2:16" s="8" customFormat="1" ht="26.25" customHeight="1">
      <c r="B21" s="8" t="s">
        <v>338</v>
      </c>
      <c r="H21" s="7"/>
      <c r="I21" s="7"/>
      <c r="J21" s="7"/>
      <c r="K21" s="7"/>
      <c r="L21" s="7"/>
    </row>
    <row r="22" spans="2:16" s="7" customFormat="1" ht="26.25" customHeight="1">
      <c r="B22" s="8"/>
      <c r="C22" s="2"/>
      <c r="D22" s="23"/>
      <c r="E22" s="23"/>
      <c r="F22" s="23"/>
      <c r="G22" s="23"/>
      <c r="M22" s="8"/>
      <c r="N22" s="8"/>
      <c r="O22" s="8"/>
      <c r="P22" s="8"/>
    </row>
    <row r="23" spans="2:16" s="8" customFormat="1" ht="26.25" customHeight="1">
      <c r="B23" s="8" t="s">
        <v>339</v>
      </c>
      <c r="H23" s="7"/>
      <c r="I23" s="7"/>
      <c r="J23" s="7"/>
      <c r="K23" s="7"/>
      <c r="L23" s="7"/>
    </row>
    <row r="24" spans="2:16" s="7" customFormat="1" ht="26.25" customHeight="1">
      <c r="B24" s="2"/>
      <c r="C24" s="2"/>
      <c r="D24" s="23"/>
      <c r="E24" s="23"/>
      <c r="F24" s="23"/>
      <c r="G24" s="23"/>
      <c r="M24" s="8"/>
      <c r="N24" s="8"/>
      <c r="O24" s="8"/>
      <c r="P24" s="8"/>
    </row>
    <row r="25" spans="2:16" s="8" customFormat="1" ht="26.25" customHeight="1">
      <c r="B25" s="8" t="s">
        <v>340</v>
      </c>
      <c r="H25" s="7"/>
      <c r="I25" s="7"/>
      <c r="J25" s="7"/>
      <c r="K25" s="7"/>
      <c r="L25" s="7"/>
    </row>
    <row r="26" spans="2:16" s="8" customFormat="1" ht="26.25" customHeight="1">
      <c r="B26" s="23"/>
      <c r="H26" s="7"/>
      <c r="I26" s="7"/>
      <c r="J26" s="7"/>
      <c r="K26" s="7"/>
      <c r="L26" s="7"/>
    </row>
    <row r="27" spans="2:16" s="7" customFormat="1" ht="26.25" customHeight="1">
      <c r="B27" s="8" t="s">
        <v>341</v>
      </c>
      <c r="C27" s="10"/>
      <c r="D27" s="10"/>
      <c r="E27" s="13"/>
      <c r="F27" s="13"/>
      <c r="G27" s="13"/>
      <c r="M27" s="64"/>
      <c r="N27" s="64"/>
      <c r="O27" s="64"/>
      <c r="P27" s="64"/>
    </row>
    <row r="28" spans="2:16" s="7" customFormat="1" ht="26.25" customHeight="1">
      <c r="B28" s="2"/>
      <c r="C28" s="2"/>
      <c r="D28" s="23"/>
      <c r="E28" s="23"/>
      <c r="F28" s="8"/>
      <c r="G28" s="23"/>
      <c r="M28" s="8"/>
      <c r="N28" s="8"/>
      <c r="O28" s="8"/>
      <c r="P28" s="8"/>
    </row>
    <row r="29" spans="2:16" s="7" customFormat="1" ht="26.25" customHeight="1">
      <c r="B29" s="8" t="s">
        <v>342</v>
      </c>
      <c r="C29" s="2"/>
      <c r="D29" s="23"/>
      <c r="E29" s="23"/>
      <c r="F29" s="8"/>
      <c r="G29" s="23"/>
      <c r="M29" s="8"/>
      <c r="N29" s="8"/>
      <c r="O29" s="8"/>
      <c r="P29" s="8"/>
    </row>
    <row r="30" spans="2:16" s="7" customFormat="1" ht="26.25" customHeight="1">
      <c r="B30" s="23"/>
      <c r="C30" s="2"/>
      <c r="D30" s="23"/>
      <c r="E30" s="23"/>
      <c r="F30" s="8"/>
      <c r="G30" s="23"/>
      <c r="M30" s="8"/>
      <c r="N30" s="8"/>
      <c r="O30" s="8"/>
      <c r="P30" s="8"/>
    </row>
    <row r="31" spans="2:16" s="7" customFormat="1" ht="26.25" customHeight="1">
      <c r="B31" s="8" t="s">
        <v>343</v>
      </c>
      <c r="C31" s="2"/>
      <c r="D31" s="23"/>
      <c r="E31" s="23"/>
      <c r="F31" s="8"/>
      <c r="G31" s="23"/>
      <c r="M31" s="8"/>
      <c r="N31" s="8"/>
      <c r="O31" s="8"/>
      <c r="P31" s="8"/>
    </row>
    <row r="32" spans="2:16" s="7" customFormat="1" ht="26.25" customHeight="1">
      <c r="B32" s="8"/>
      <c r="C32" s="2"/>
      <c r="D32" s="23"/>
      <c r="E32" s="23"/>
      <c r="F32" s="8"/>
      <c r="G32" s="23"/>
      <c r="M32" s="8"/>
      <c r="N32" s="8"/>
      <c r="O32" s="8"/>
      <c r="P32" s="8"/>
    </row>
    <row r="33" spans="2:16" s="7" customFormat="1" ht="26.25" customHeight="1">
      <c r="B33" s="2" t="s">
        <v>344</v>
      </c>
      <c r="C33" s="2"/>
      <c r="D33" s="23"/>
      <c r="E33" s="23"/>
      <c r="F33" s="8"/>
      <c r="G33" s="23"/>
      <c r="M33" s="8"/>
      <c r="N33" s="8"/>
      <c r="O33" s="8"/>
      <c r="P33" s="8"/>
    </row>
    <row r="34" spans="2:16" s="7" customFormat="1" ht="26.25" customHeight="1">
      <c r="B34" s="2"/>
      <c r="C34" s="2"/>
      <c r="D34" s="23"/>
      <c r="E34" s="23"/>
      <c r="F34" s="8"/>
      <c r="G34" s="23"/>
      <c r="M34" s="8"/>
      <c r="N34" s="8"/>
      <c r="O34" s="8"/>
      <c r="P34" s="8"/>
    </row>
    <row r="35" spans="2:16" s="7" customFormat="1" ht="26.25" customHeight="1">
      <c r="B35" s="2" t="s">
        <v>345</v>
      </c>
      <c r="C35" s="2"/>
      <c r="D35" s="23"/>
      <c r="E35" s="23"/>
      <c r="F35" s="8"/>
      <c r="G35" s="23"/>
      <c r="M35" s="8"/>
      <c r="N35" s="8"/>
      <c r="O35" s="8"/>
      <c r="P35" s="8"/>
    </row>
    <row r="36" spans="2:16" s="7" customFormat="1" ht="26.25" customHeight="1">
      <c r="B36" s="23"/>
      <c r="C36" s="10"/>
      <c r="D36" s="10"/>
      <c r="E36" s="13"/>
      <c r="F36" s="13"/>
      <c r="G36" s="13"/>
      <c r="M36" s="64"/>
      <c r="N36" s="64"/>
      <c r="O36" s="64"/>
      <c r="P36" s="64"/>
    </row>
    <row r="37" spans="2:16" s="7" customFormat="1" ht="26.25" customHeight="1" thickBot="1">
      <c r="B37" s="2" t="s">
        <v>346</v>
      </c>
      <c r="C37" s="2"/>
      <c r="D37" s="10"/>
      <c r="E37" s="23"/>
      <c r="F37" s="65"/>
      <c r="G37" s="13"/>
      <c r="M37" s="1"/>
      <c r="N37" s="1"/>
      <c r="O37" s="1"/>
      <c r="P37" s="1"/>
    </row>
    <row r="38" spans="2:16" s="7" customFormat="1" ht="26.25" customHeight="1" thickBot="1">
      <c r="B38" s="66"/>
      <c r="C38" s="67">
        <v>296</v>
      </c>
      <c r="D38" s="55">
        <v>396</v>
      </c>
      <c r="E38" s="56">
        <v>496</v>
      </c>
      <c r="F38" s="56">
        <v>596</v>
      </c>
      <c r="G38" s="57">
        <v>896</v>
      </c>
      <c r="M38" s="1"/>
      <c r="N38" s="1"/>
      <c r="O38" s="1"/>
      <c r="P38" s="1"/>
    </row>
    <row r="39" spans="2:16" s="7" customFormat="1" ht="26.25" customHeight="1">
      <c r="B39" s="52">
        <v>356</v>
      </c>
      <c r="C39" s="68"/>
      <c r="D39" s="69"/>
      <c r="E39" s="69" t="s">
        <v>347</v>
      </c>
      <c r="F39" s="69" t="s">
        <v>347</v>
      </c>
      <c r="G39" s="70" t="s">
        <v>347</v>
      </c>
      <c r="M39" s="1"/>
      <c r="N39" s="1"/>
      <c r="O39" s="1"/>
      <c r="P39" s="1"/>
    </row>
    <row r="40" spans="2:16" s="7" customFormat="1" ht="26.25" customHeight="1">
      <c r="B40" s="71">
        <v>716</v>
      </c>
      <c r="C40" s="72" t="s">
        <v>347</v>
      </c>
      <c r="D40" s="129" t="s">
        <v>347</v>
      </c>
      <c r="E40" s="129" t="s">
        <v>347</v>
      </c>
      <c r="F40" s="129" t="s">
        <v>347</v>
      </c>
      <c r="G40" s="130"/>
      <c r="M40" s="1"/>
      <c r="N40" s="1"/>
      <c r="O40" s="1"/>
      <c r="P40" s="1"/>
    </row>
    <row r="41" spans="2:16" s="7" customFormat="1" ht="26.25" customHeight="1">
      <c r="B41" s="71">
        <v>956</v>
      </c>
      <c r="C41" s="72" t="s">
        <v>347</v>
      </c>
      <c r="D41" s="129" t="s">
        <v>347</v>
      </c>
      <c r="E41" s="129" t="s">
        <v>347</v>
      </c>
      <c r="F41" s="129" t="s">
        <v>347</v>
      </c>
      <c r="G41" s="130"/>
      <c r="M41" s="1"/>
      <c r="N41" s="1"/>
      <c r="O41" s="1"/>
      <c r="P41" s="1"/>
    </row>
    <row r="42" spans="2:16" s="7" customFormat="1" ht="26.25" customHeight="1">
      <c r="B42" s="71">
        <v>1350</v>
      </c>
      <c r="C42" s="72" t="s">
        <v>347</v>
      </c>
      <c r="D42" s="129" t="s">
        <v>347</v>
      </c>
      <c r="E42" s="129" t="s">
        <v>347</v>
      </c>
      <c r="F42" s="129" t="s">
        <v>347</v>
      </c>
      <c r="G42" s="130"/>
      <c r="M42" s="1"/>
      <c r="N42" s="1"/>
      <c r="O42" s="1"/>
      <c r="P42" s="1"/>
    </row>
    <row r="43" spans="2:16" s="7" customFormat="1" ht="26.25" customHeight="1">
      <c r="B43" s="71">
        <v>1600</v>
      </c>
      <c r="C43" s="72" t="s">
        <v>347</v>
      </c>
      <c r="D43" s="129" t="s">
        <v>347</v>
      </c>
      <c r="E43" s="129" t="s">
        <v>347</v>
      </c>
      <c r="F43" s="129" t="s">
        <v>347</v>
      </c>
      <c r="G43" s="130"/>
      <c r="M43" s="1"/>
      <c r="N43" s="1"/>
      <c r="O43" s="1"/>
      <c r="P43" s="1"/>
    </row>
    <row r="44" spans="2:16" s="7" customFormat="1" ht="26.25" customHeight="1">
      <c r="B44" s="73">
        <v>2000</v>
      </c>
      <c r="C44" s="72" t="s">
        <v>347</v>
      </c>
      <c r="D44" s="129" t="s">
        <v>347</v>
      </c>
      <c r="E44" s="129" t="s">
        <v>347</v>
      </c>
      <c r="F44" s="129" t="s">
        <v>347</v>
      </c>
      <c r="G44" s="130"/>
      <c r="M44" s="1"/>
      <c r="N44" s="1"/>
      <c r="O44" s="1"/>
      <c r="P44" s="1"/>
    </row>
    <row r="45" spans="2:16" s="7" customFormat="1" ht="26.25" customHeight="1" thickBot="1">
      <c r="B45" s="39">
        <v>2350</v>
      </c>
      <c r="C45" s="74" t="s">
        <v>347</v>
      </c>
      <c r="D45" s="134" t="s">
        <v>347</v>
      </c>
      <c r="E45" s="134" t="s">
        <v>347</v>
      </c>
      <c r="F45" s="134" t="s">
        <v>347</v>
      </c>
      <c r="G45" s="133"/>
      <c r="M45" s="1"/>
      <c r="N45" s="1"/>
      <c r="O45" s="1"/>
      <c r="P45" s="1"/>
    </row>
    <row r="46" spans="2:16" s="7" customFormat="1" ht="26.25" customHeight="1">
      <c r="B46" s="2" t="s">
        <v>348</v>
      </c>
      <c r="C46" s="2"/>
      <c r="D46" s="60"/>
      <c r="E46" s="23"/>
      <c r="F46" s="13"/>
      <c r="G46" s="13"/>
      <c r="M46" s="1"/>
      <c r="N46" s="1"/>
      <c r="O46" s="1"/>
      <c r="P46" s="1"/>
    </row>
    <row r="47" spans="2:16" s="7" customFormat="1" ht="26.25" customHeight="1">
      <c r="B47" s="2"/>
      <c r="C47" s="2"/>
      <c r="D47" s="23"/>
      <c r="E47" s="23"/>
      <c r="F47" s="1"/>
      <c r="G47" s="23"/>
      <c r="M47" s="1"/>
      <c r="N47" s="1"/>
      <c r="O47" s="1"/>
      <c r="P47" s="1"/>
    </row>
    <row r="48" spans="2:16" s="7" customFormat="1" ht="26.25" customHeight="1">
      <c r="B48" s="33" t="s">
        <v>349</v>
      </c>
      <c r="C48" s="2"/>
      <c r="D48" s="23"/>
      <c r="E48" s="23"/>
      <c r="F48" s="1"/>
      <c r="G48" s="23"/>
      <c r="M48" s="1"/>
      <c r="N48" s="1"/>
      <c r="O48" s="1"/>
      <c r="P48" s="1"/>
    </row>
    <row r="49" spans="8:8" ht="26.25" customHeight="1">
      <c r="H49" s="25" t="s">
        <v>350</v>
      </c>
    </row>
  </sheetData>
  <phoneticPr fontId="1" type="noConversion"/>
  <pageMargins left="0.70866141732283472" right="0.31496062992125984" top="0.55118110236220474" bottom="0.35433070866141736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26</vt:i4>
      </vt:variant>
    </vt:vector>
  </HeadingPairs>
  <TitlesOfParts>
    <vt:vector size="37" baseType="lpstr">
      <vt:lpstr>Прайс с 2024-09-15     стр1</vt:lpstr>
      <vt:lpstr>стр 2 </vt:lpstr>
      <vt:lpstr>стр 3</vt:lpstr>
      <vt:lpstr> стр 4</vt:lpstr>
      <vt:lpstr>стр 5</vt:lpstr>
      <vt:lpstr>стр 6</vt:lpstr>
      <vt:lpstr>стр 7</vt:lpstr>
      <vt:lpstr>стр 8</vt:lpstr>
      <vt:lpstr>стр 9</vt:lpstr>
      <vt:lpstr>стр 10</vt:lpstr>
      <vt:lpstr>Формулы</vt:lpstr>
      <vt:lpstr>Авиньон</vt:lpstr>
      <vt:lpstr>' стр 4'!Область_печати</vt:lpstr>
      <vt:lpstr>'Прайс с 2024-09-15     стр1'!Область_печати</vt:lpstr>
      <vt:lpstr>'стр 10'!Область_печати</vt:lpstr>
      <vt:lpstr>'стр 2 '!Область_печати</vt:lpstr>
      <vt:lpstr>'стр 3'!Область_печати</vt:lpstr>
      <vt:lpstr>'стр 5'!Область_печати</vt:lpstr>
      <vt:lpstr>'стр 6'!Область_печати</vt:lpstr>
      <vt:lpstr>'стр 7'!Область_печати</vt:lpstr>
      <vt:lpstr>'стр 8'!Область_печати</vt:lpstr>
      <vt:lpstr>'стр 9'!Область_печати</vt:lpstr>
      <vt:lpstr>Формулы!Область_печати</vt:lpstr>
      <vt:lpstr>Основа_гнутого_фасада</vt:lpstr>
      <vt:lpstr>Патина</vt:lpstr>
      <vt:lpstr>Плита_19_мм</vt:lpstr>
      <vt:lpstr>Престиж_1</vt:lpstr>
      <vt:lpstr>Престиж_2</vt:lpstr>
      <vt:lpstr>Престиж_3</vt:lpstr>
      <vt:lpstr>Престиж_4</vt:lpstr>
      <vt:lpstr>Сложная_фрезеровка</vt:lpstr>
      <vt:lpstr>Сложная_фрезеровка_с_утопленной_вставкой</vt:lpstr>
      <vt:lpstr>Стандарт_1</vt:lpstr>
      <vt:lpstr>Стандарт_2</vt:lpstr>
      <vt:lpstr>Стандарт_3</vt:lpstr>
      <vt:lpstr>Стандарт_4</vt:lpstr>
      <vt:lpstr>Стандарт_5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 лист ФМФ Ирбис 2022-06-15 для мебельных компаний</dc:title>
  <dc:subject/>
  <dc:creator>Sergey</dc:creator>
  <cp:keywords/>
  <dc:description/>
  <cp:lastModifiedBy>Сергей Спиркин</cp:lastModifiedBy>
  <cp:revision/>
  <cp:lastPrinted>2024-08-23T13:36:45Z</cp:lastPrinted>
  <dcterms:created xsi:type="dcterms:W3CDTF">2016-05-10T12:19:30Z</dcterms:created>
  <dcterms:modified xsi:type="dcterms:W3CDTF">2024-08-27T07:38:21Z</dcterms:modified>
  <cp:category/>
  <cp:contentStatus/>
</cp:coreProperties>
</file>